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AEP West Trans\True Ups\2025 Rate Year\As Filed\"/>
    </mc:Choice>
  </mc:AlternateContent>
  <xr:revisionPtr revIDLastSave="0" documentId="13_ncr:1_{CF8D70DA-673D-4B38-83FE-47A662D25E58}" xr6:coauthVersionLast="47" xr6:coauthVersionMax="47" xr10:uidLastSave="{00000000-0000-0000-0000-000000000000}"/>
  <bookViews>
    <workbookView xWindow="-120" yWindow="-120" windowWidth="29040" windowHeight="15720" tabRatio="887" xr2:uid="{00000000-000D-0000-FFFF-FFFF00000000}"/>
  </bookViews>
  <sheets>
    <sheet name="PSO.Sch.11.Rates" sheetId="17" r:id="rId1"/>
    <sheet name="PSO.WS.F.BPU.ATRR.Projected" sheetId="1" r:id="rId2"/>
    <sheet name="PSO.WS.G.BPU.ATRR.True-up" sheetId="2" r:id="rId3"/>
    <sheet name="P.001" sheetId="3" r:id="rId4"/>
    <sheet name="P.002" sheetId="4" r:id="rId5"/>
    <sheet name="P.003" sheetId="5" r:id="rId6"/>
    <sheet name="P.004" sheetId="6" r:id="rId7"/>
    <sheet name="P.005" sheetId="7" r:id="rId8"/>
    <sheet name="P.006" sheetId="8" r:id="rId9"/>
    <sheet name="P.007" sheetId="9" r:id="rId10"/>
    <sheet name="P.008" sheetId="10" r:id="rId11"/>
    <sheet name="P.009" sheetId="11" r:id="rId12"/>
    <sheet name="P.010" sheetId="22" r:id="rId13"/>
    <sheet name="P.011" sheetId="23" r:id="rId14"/>
    <sheet name="P.012" sheetId="24" r:id="rId15"/>
    <sheet name="P.013" sheetId="25" r:id="rId16"/>
    <sheet name="P.014" sheetId="27" r:id="rId17"/>
    <sheet name="P.015" sheetId="28" r:id="rId18"/>
    <sheet name="P.016" sheetId="29" r:id="rId19"/>
    <sheet name="P.017" sheetId="30" r:id="rId20"/>
    <sheet name="P.018" sheetId="31" r:id="rId21"/>
    <sheet name="P.019" sheetId="37" r:id="rId22"/>
    <sheet name="P.020" sheetId="38" r:id="rId23"/>
    <sheet name="P.021" sheetId="39" r:id="rId24"/>
    <sheet name="P.022" sheetId="40" r:id="rId25"/>
    <sheet name="P.023" sheetId="41" r:id="rId26"/>
    <sheet name="P.024" sheetId="42" r:id="rId27"/>
    <sheet name="P.025" sheetId="43" r:id="rId28"/>
    <sheet name="P.026" sheetId="44" r:id="rId29"/>
    <sheet name="P.027" sheetId="45" r:id="rId30"/>
    <sheet name="P.028" sheetId="46" r:id="rId31"/>
    <sheet name="P.029" sheetId="47" r:id="rId32"/>
    <sheet name="P.030" sheetId="48" r:id="rId33"/>
    <sheet name="P.031" sheetId="49" r:id="rId34"/>
    <sheet name="P.032" sheetId="50" r:id="rId35"/>
    <sheet name="P.033" sheetId="51" r:id="rId36"/>
    <sheet name="P.034" sheetId="52" r:id="rId37"/>
    <sheet name="P.035" sheetId="56" r:id="rId38"/>
    <sheet name="P.036" sheetId="57" r:id="rId39"/>
    <sheet name="P.xyz - blank" sheetId="13" r:id="rId40"/>
  </sheet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#REF!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P.001!$A$1:$P$165</definedName>
    <definedName name="_xlnm.Print_Area" localSheetId="4">P.002!$A$1:$P$165</definedName>
    <definedName name="_xlnm.Print_Area" localSheetId="5">P.003!$A$1:$P$165</definedName>
    <definedName name="_xlnm.Print_Area" localSheetId="6">P.004!$A$1:$P$165</definedName>
    <definedName name="_xlnm.Print_Area" localSheetId="7">P.005!$A$1:$P$165</definedName>
    <definedName name="_xlnm.Print_Area" localSheetId="8">P.006!$A$1:$P$165</definedName>
    <definedName name="_xlnm.Print_Area" localSheetId="9">P.007!$A$1:$P$165</definedName>
    <definedName name="_xlnm.Print_Area" localSheetId="10">P.008!$A$1:$P$165</definedName>
    <definedName name="_xlnm.Print_Area" localSheetId="11">P.009!$A$1:$P$165</definedName>
    <definedName name="_xlnm.Print_Area" localSheetId="12">P.010!$A$1:$P$165</definedName>
    <definedName name="_xlnm.Print_Area" localSheetId="13">P.011!$A$1:$P$165</definedName>
    <definedName name="_xlnm.Print_Area" localSheetId="14">P.012!$A$1:$P$165</definedName>
    <definedName name="_xlnm.Print_Area" localSheetId="15">P.013!$A$1:$P$165</definedName>
    <definedName name="_xlnm.Print_Area" localSheetId="16">P.014!$A$1:$P$165</definedName>
    <definedName name="_xlnm.Print_Area" localSheetId="17">P.015!$A$1:$P$165</definedName>
    <definedName name="_xlnm.Print_Area" localSheetId="18">P.016!$A$1:$P$165</definedName>
    <definedName name="_xlnm.Print_Area" localSheetId="19">P.017!$A$1:$P$165</definedName>
    <definedName name="_xlnm.Print_Area" localSheetId="20">P.018!$A$1:$P$165</definedName>
    <definedName name="_xlnm.Print_Area" localSheetId="21">P.019!$A$1:$P$165</definedName>
    <definedName name="_xlnm.Print_Area" localSheetId="22">P.020!$A$1:$P$165</definedName>
    <definedName name="_xlnm.Print_Area" localSheetId="23">P.021!$A$1:$P$165</definedName>
    <definedName name="_xlnm.Print_Area" localSheetId="24">P.022!$A$1:$P$165</definedName>
    <definedName name="_xlnm.Print_Area" localSheetId="34">P.032!$A$1:$P$165</definedName>
    <definedName name="_xlnm.Print_Area" localSheetId="35">P.033!$A$1:$P$165</definedName>
    <definedName name="_xlnm.Print_Area" localSheetId="36">P.034!$A$1:$P$165</definedName>
    <definedName name="_xlnm.Print_Area" localSheetId="37">P.035!$A$1:$P$165</definedName>
    <definedName name="_xlnm.Print_Area" localSheetId="38">P.036!$A$1:$P$165</definedName>
    <definedName name="_xlnm.Print_Area" localSheetId="39">'P.xyz - blank'!$A$1:$P$165</definedName>
    <definedName name="_xlnm.Print_Area" localSheetId="0">'PSO.Sch.11.Rates'!$A$1:$V$57</definedName>
    <definedName name="_xlnm.Print_Area" localSheetId="1">'PSO.WS.F.BPU.ATRR.Projected'!$A$1:$O$93</definedName>
    <definedName name="_xlnm.Print_Area" localSheetId="2">'PSO.WS.G.BPU.ATRR.True-up'!$A$1:$P$96</definedName>
    <definedName name="_xlnm.Print_Titles" localSheetId="5">P.003!#REF!</definedName>
    <definedName name="_xlnm.Print_Titles" localSheetId="6">P.004!#REF!</definedName>
    <definedName name="_xlnm.Print_Titles" localSheetId="7">P.005!#REF!</definedName>
    <definedName name="_xlnm.Print_Titles" localSheetId="8">P.006!#REF!</definedName>
    <definedName name="_xlnm.Print_Titles" localSheetId="9">P.007!#REF!</definedName>
    <definedName name="_xlnm.Print_Titles" localSheetId="10">P.008!#REF!</definedName>
    <definedName name="_xlnm.Print_Titles" localSheetId="11">P.009!#REF!</definedName>
    <definedName name="_xlnm.Print_Titles" localSheetId="12">P.010!#REF!</definedName>
    <definedName name="_xlnm.Print_Titles" localSheetId="13">P.011!#REF!</definedName>
    <definedName name="_xlnm.Print_Titles" localSheetId="14">P.012!#REF!</definedName>
    <definedName name="_xlnm.Print_Titles" localSheetId="15">P.013!#REF!</definedName>
    <definedName name="_xlnm.Print_Titles" localSheetId="16">P.014!#REF!</definedName>
    <definedName name="_xlnm.Print_Titles" localSheetId="17">P.015!#REF!</definedName>
    <definedName name="_xlnm.Print_Titles" localSheetId="18">P.016!#REF!</definedName>
    <definedName name="_xlnm.Print_Titles" localSheetId="19">P.017!#REF!</definedName>
    <definedName name="_xlnm.Print_Titles" localSheetId="20">P.018!#REF!</definedName>
    <definedName name="_xlnm.Print_Titles" localSheetId="21">P.019!#REF!</definedName>
    <definedName name="_xlnm.Print_Titles" localSheetId="22">P.020!#REF!</definedName>
    <definedName name="_xlnm.Print_Titles" localSheetId="23">P.021!#REF!</definedName>
    <definedName name="_xlnm.Print_Titles" localSheetId="24">P.022!#REF!</definedName>
    <definedName name="_xlnm.Print_Titles" localSheetId="34">P.032!#REF!</definedName>
    <definedName name="_xlnm.Print_Titles" localSheetId="35">P.033!#REF!</definedName>
    <definedName name="_xlnm.Print_Titles" localSheetId="36">P.034!#REF!</definedName>
    <definedName name="_xlnm.Print_Titles" localSheetId="37">P.035!#REF!</definedName>
    <definedName name="_xlnm.Print_Titles" localSheetId="38">P.036!#REF!</definedName>
    <definedName name="_xlnm.Print_Titles" localSheetId="39">'P.xyz - blank'!#REF!</definedName>
    <definedName name="_xlnm.Print_Titles" localSheetId="1">'PSO.WS.F.BPU.ATRR.Projected'!$1:$6</definedName>
    <definedName name="_xlnm.Print_Titles" localSheetId="2">'PSO.WS.G.BPU.ATRR.True-up'!$1:$5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53" i="17" l="1"/>
  <c r="E9" i="57" l="1"/>
  <c r="D9" i="57"/>
  <c r="D18" i="57"/>
  <c r="I17" i="57"/>
  <c r="D7" i="57"/>
  <c r="P154" i="57" l="1"/>
  <c r="O154" i="57"/>
  <c r="M154" i="57"/>
  <c r="J154" i="57"/>
  <c r="P153" i="57"/>
  <c r="O153" i="57"/>
  <c r="M153" i="57"/>
  <c r="J153" i="57"/>
  <c r="P152" i="57"/>
  <c r="O152" i="57"/>
  <c r="M152" i="57"/>
  <c r="J152" i="57"/>
  <c r="P151" i="57"/>
  <c r="O151" i="57"/>
  <c r="M151" i="57"/>
  <c r="J151" i="57"/>
  <c r="P150" i="57"/>
  <c r="O150" i="57"/>
  <c r="M150" i="57"/>
  <c r="J150" i="57"/>
  <c r="P149" i="57"/>
  <c r="O149" i="57"/>
  <c r="M149" i="57"/>
  <c r="J149" i="57"/>
  <c r="P148" i="57"/>
  <c r="O148" i="57"/>
  <c r="M148" i="57"/>
  <c r="J148" i="57"/>
  <c r="P147" i="57"/>
  <c r="O147" i="57"/>
  <c r="M147" i="57"/>
  <c r="J147" i="57"/>
  <c r="P146" i="57"/>
  <c r="O146" i="57"/>
  <c r="M146" i="57"/>
  <c r="J146" i="57"/>
  <c r="P145" i="57"/>
  <c r="O145" i="57"/>
  <c r="M145" i="57"/>
  <c r="J145" i="57"/>
  <c r="P144" i="57"/>
  <c r="O144" i="57"/>
  <c r="M144" i="57"/>
  <c r="J144" i="57"/>
  <c r="P143" i="57"/>
  <c r="O143" i="57"/>
  <c r="M143" i="57"/>
  <c r="J143" i="57"/>
  <c r="P142" i="57"/>
  <c r="O142" i="57"/>
  <c r="M142" i="57"/>
  <c r="J142" i="57"/>
  <c r="P141" i="57"/>
  <c r="O141" i="57"/>
  <c r="M141" i="57"/>
  <c r="J141" i="57"/>
  <c r="P140" i="57"/>
  <c r="O140" i="57"/>
  <c r="M140" i="57"/>
  <c r="J140" i="57"/>
  <c r="P139" i="57"/>
  <c r="O139" i="57"/>
  <c r="M139" i="57"/>
  <c r="J139" i="57"/>
  <c r="P138" i="57"/>
  <c r="O138" i="57"/>
  <c r="M138" i="57"/>
  <c r="J138" i="57"/>
  <c r="P137" i="57"/>
  <c r="O137" i="57"/>
  <c r="M137" i="57"/>
  <c r="J137" i="57"/>
  <c r="P136" i="57"/>
  <c r="O136" i="57"/>
  <c r="M136" i="57"/>
  <c r="J136" i="57"/>
  <c r="P135" i="57"/>
  <c r="O135" i="57"/>
  <c r="M135" i="57"/>
  <c r="J135" i="57"/>
  <c r="P134" i="57"/>
  <c r="O134" i="57"/>
  <c r="M134" i="57"/>
  <c r="J134" i="57"/>
  <c r="P133" i="57"/>
  <c r="O133" i="57"/>
  <c r="M133" i="57"/>
  <c r="J133" i="57"/>
  <c r="P132" i="57"/>
  <c r="O132" i="57"/>
  <c r="M132" i="57"/>
  <c r="J132" i="57"/>
  <c r="P131" i="57"/>
  <c r="O131" i="57"/>
  <c r="M131" i="57"/>
  <c r="J131" i="57"/>
  <c r="O130" i="57"/>
  <c r="M130" i="57"/>
  <c r="O129" i="57"/>
  <c r="M129" i="57"/>
  <c r="O128" i="57"/>
  <c r="M128" i="57"/>
  <c r="O127" i="57"/>
  <c r="M127" i="57"/>
  <c r="O126" i="57"/>
  <c r="M126" i="57"/>
  <c r="O125" i="57"/>
  <c r="M125" i="57"/>
  <c r="O124" i="57"/>
  <c r="M124" i="57"/>
  <c r="O123" i="57"/>
  <c r="M123" i="57"/>
  <c r="O122" i="57"/>
  <c r="M122" i="57"/>
  <c r="O121" i="57"/>
  <c r="M121" i="57"/>
  <c r="O120" i="57"/>
  <c r="M120" i="57"/>
  <c r="O119" i="57"/>
  <c r="M119" i="57"/>
  <c r="O118" i="57"/>
  <c r="M118" i="57"/>
  <c r="O117" i="57"/>
  <c r="M117" i="57"/>
  <c r="O116" i="57"/>
  <c r="M116" i="57"/>
  <c r="O115" i="57"/>
  <c r="M115" i="57"/>
  <c r="O114" i="57"/>
  <c r="M114" i="57"/>
  <c r="O113" i="57"/>
  <c r="M113" i="57"/>
  <c r="O112" i="57"/>
  <c r="M112" i="57"/>
  <c r="O111" i="57"/>
  <c r="M111" i="57"/>
  <c r="O110" i="57"/>
  <c r="M110" i="57"/>
  <c r="O109" i="57"/>
  <c r="M109" i="57"/>
  <c r="O108" i="57"/>
  <c r="M108" i="57"/>
  <c r="O107" i="57"/>
  <c r="M107" i="57"/>
  <c r="O106" i="57"/>
  <c r="M106" i="57"/>
  <c r="O105" i="57"/>
  <c r="M105" i="57"/>
  <c r="O104" i="57"/>
  <c r="M104" i="57"/>
  <c r="O103" i="57"/>
  <c r="M103" i="57"/>
  <c r="O102" i="57"/>
  <c r="M102" i="57"/>
  <c r="O101" i="57"/>
  <c r="M101" i="57"/>
  <c r="O100" i="57"/>
  <c r="M100" i="57"/>
  <c r="N99" i="57"/>
  <c r="O99" i="57" s="1"/>
  <c r="L99" i="57"/>
  <c r="M99" i="57" s="1"/>
  <c r="J99" i="57"/>
  <c r="D96" i="57"/>
  <c r="D94" i="57"/>
  <c r="L93" i="57"/>
  <c r="J93" i="57"/>
  <c r="N72" i="57"/>
  <c r="L72" i="57"/>
  <c r="N71" i="57"/>
  <c r="L71" i="57"/>
  <c r="N70" i="57"/>
  <c r="L70" i="57"/>
  <c r="N69" i="57"/>
  <c r="L69" i="57"/>
  <c r="N68" i="57"/>
  <c r="L68" i="57"/>
  <c r="N67" i="57"/>
  <c r="L67" i="57"/>
  <c r="N66" i="57"/>
  <c r="L66" i="57"/>
  <c r="N65" i="57"/>
  <c r="L65" i="57"/>
  <c r="N64" i="57"/>
  <c r="L64" i="57"/>
  <c r="N63" i="57"/>
  <c r="L63" i="57"/>
  <c r="N62" i="57"/>
  <c r="L62" i="57"/>
  <c r="N61" i="57"/>
  <c r="L61" i="57"/>
  <c r="N60" i="57"/>
  <c r="L60" i="57"/>
  <c r="N59" i="57"/>
  <c r="L59" i="57"/>
  <c r="N58" i="57"/>
  <c r="L58" i="57"/>
  <c r="N57" i="57"/>
  <c r="L57" i="57"/>
  <c r="N56" i="57"/>
  <c r="L56" i="57"/>
  <c r="N55" i="57"/>
  <c r="L55" i="57"/>
  <c r="N54" i="57"/>
  <c r="L54" i="57"/>
  <c r="N53" i="57"/>
  <c r="L53" i="57"/>
  <c r="N52" i="57"/>
  <c r="L52" i="57"/>
  <c r="N51" i="57"/>
  <c r="L51" i="57"/>
  <c r="N50" i="57"/>
  <c r="L50" i="57"/>
  <c r="N49" i="57"/>
  <c r="L49" i="57"/>
  <c r="N48" i="57"/>
  <c r="L48" i="57"/>
  <c r="N47" i="57"/>
  <c r="L47" i="57"/>
  <c r="N46" i="57"/>
  <c r="L46" i="57"/>
  <c r="N45" i="57"/>
  <c r="L45" i="57"/>
  <c r="N44" i="57"/>
  <c r="L44" i="57"/>
  <c r="N43" i="57"/>
  <c r="L43" i="57"/>
  <c r="N42" i="57"/>
  <c r="L42" i="57"/>
  <c r="N41" i="57"/>
  <c r="L41" i="57"/>
  <c r="N40" i="57"/>
  <c r="L40" i="57"/>
  <c r="N39" i="57"/>
  <c r="L39" i="57"/>
  <c r="N38" i="57"/>
  <c r="L38" i="57"/>
  <c r="N37" i="57"/>
  <c r="L37" i="57"/>
  <c r="N36" i="57"/>
  <c r="L36" i="57"/>
  <c r="N35" i="57"/>
  <c r="L35" i="57"/>
  <c r="N34" i="57"/>
  <c r="L34" i="57"/>
  <c r="N33" i="57"/>
  <c r="L33" i="57"/>
  <c r="N32" i="57"/>
  <c r="L32" i="57"/>
  <c r="N31" i="57"/>
  <c r="L31" i="57"/>
  <c r="N30" i="57"/>
  <c r="L30" i="57"/>
  <c r="N29" i="57"/>
  <c r="L29" i="57"/>
  <c r="N28" i="57"/>
  <c r="L28" i="57"/>
  <c r="N27" i="57"/>
  <c r="L27" i="57"/>
  <c r="N26" i="57"/>
  <c r="L26" i="57"/>
  <c r="N25" i="57"/>
  <c r="L25" i="57"/>
  <c r="N24" i="57"/>
  <c r="L24" i="57"/>
  <c r="N23" i="57"/>
  <c r="L23" i="57"/>
  <c r="N22" i="57"/>
  <c r="L22" i="57"/>
  <c r="N21" i="57"/>
  <c r="L21" i="57"/>
  <c r="N20" i="57"/>
  <c r="L20" i="57"/>
  <c r="N19" i="57"/>
  <c r="L19" i="57"/>
  <c r="B18" i="57"/>
  <c r="M17" i="57"/>
  <c r="N17" i="57" s="1"/>
  <c r="K17" i="57"/>
  <c r="L17" i="57" s="1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I14" i="57"/>
  <c r="E18" i="57" s="1"/>
  <c r="F18" i="57" s="1"/>
  <c r="D19" i="57" s="1"/>
  <c r="B19" i="57" s="1"/>
  <c r="K11" i="57"/>
  <c r="I11" i="57"/>
  <c r="P1" i="57"/>
  <c r="P83" i="57" s="1"/>
  <c r="N99" i="56"/>
  <c r="O99" i="56" s="1"/>
  <c r="L99" i="56"/>
  <c r="M99" i="56" s="1"/>
  <c r="N99" i="50"/>
  <c r="O99" i="50" s="1"/>
  <c r="L99" i="50"/>
  <c r="M99" i="50" s="1"/>
  <c r="N101" i="49"/>
  <c r="O101" i="49" s="1"/>
  <c r="L101" i="49"/>
  <c r="M101" i="49" s="1"/>
  <c r="N102" i="48"/>
  <c r="O102" i="48" s="1"/>
  <c r="L102" i="48"/>
  <c r="M102" i="48" s="1"/>
  <c r="N101" i="47"/>
  <c r="O101" i="47" s="1"/>
  <c r="L101" i="47"/>
  <c r="M101" i="47" s="1"/>
  <c r="N103" i="46"/>
  <c r="O103" i="46" s="1"/>
  <c r="L103" i="46"/>
  <c r="M103" i="46" s="1"/>
  <c r="N104" i="45"/>
  <c r="O104" i="45" s="1"/>
  <c r="L104" i="45"/>
  <c r="M104" i="45" s="1"/>
  <c r="N104" i="44"/>
  <c r="O104" i="44" s="1"/>
  <c r="L104" i="44"/>
  <c r="M104" i="44" s="1"/>
  <c r="N105" i="43"/>
  <c r="O105" i="43" s="1"/>
  <c r="L105" i="43"/>
  <c r="M105" i="43" s="1"/>
  <c r="N105" i="42"/>
  <c r="O105" i="42" s="1"/>
  <c r="L105" i="42"/>
  <c r="M105" i="42" s="1"/>
  <c r="P99" i="56" l="1"/>
  <c r="O35" i="57"/>
  <c r="O43" i="57"/>
  <c r="O67" i="57"/>
  <c r="P130" i="57"/>
  <c r="P105" i="57"/>
  <c r="P117" i="57"/>
  <c r="P121" i="57"/>
  <c r="P102" i="57"/>
  <c r="P106" i="57"/>
  <c r="P114" i="57"/>
  <c r="P122" i="57"/>
  <c r="O40" i="57"/>
  <c r="O44" i="57"/>
  <c r="O56" i="57"/>
  <c r="O61" i="57"/>
  <c r="O36" i="57"/>
  <c r="O32" i="57"/>
  <c r="O21" i="57"/>
  <c r="O26" i="57"/>
  <c r="O25" i="57"/>
  <c r="O29" i="57"/>
  <c r="O45" i="57"/>
  <c r="O53" i="57"/>
  <c r="O34" i="57"/>
  <c r="O30" i="57"/>
  <c r="O46" i="57"/>
  <c r="O65" i="57"/>
  <c r="O23" i="57"/>
  <c r="O47" i="57"/>
  <c r="O51" i="57"/>
  <c r="O62" i="57"/>
  <c r="O66" i="57"/>
  <c r="O38" i="57"/>
  <c r="O54" i="57"/>
  <c r="O19" i="57"/>
  <c r="O20" i="57"/>
  <c r="O28" i="57"/>
  <c r="O59" i="57"/>
  <c r="O57" i="57"/>
  <c r="O69" i="57"/>
  <c r="O37" i="57"/>
  <c r="O22" i="57"/>
  <c r="O41" i="57"/>
  <c r="O48" i="57"/>
  <c r="O33" i="57"/>
  <c r="O58" i="57"/>
  <c r="O68" i="57"/>
  <c r="O27" i="57"/>
  <c r="O49" i="57"/>
  <c r="O31" i="57"/>
  <c r="O60" i="57"/>
  <c r="O24" i="57"/>
  <c r="O39" i="57"/>
  <c r="O50" i="57"/>
  <c r="P115" i="57"/>
  <c r="P104" i="57"/>
  <c r="P116" i="57"/>
  <c r="P120" i="57"/>
  <c r="P127" i="57"/>
  <c r="P103" i="57"/>
  <c r="P119" i="57"/>
  <c r="C45" i="57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P100" i="57"/>
  <c r="E19" i="57"/>
  <c r="O17" i="57"/>
  <c r="D100" i="57"/>
  <c r="O52" i="57"/>
  <c r="O42" i="57"/>
  <c r="O64" i="57"/>
  <c r="P113" i="57"/>
  <c r="O55" i="57"/>
  <c r="O63" i="57"/>
  <c r="P101" i="57"/>
  <c r="P118" i="57"/>
  <c r="P126" i="57"/>
  <c r="P99" i="57"/>
  <c r="O72" i="57"/>
  <c r="P111" i="57"/>
  <c r="P112" i="57"/>
  <c r="P125" i="57"/>
  <c r="P129" i="57"/>
  <c r="O71" i="57"/>
  <c r="P109" i="57"/>
  <c r="P110" i="57"/>
  <c r="O70" i="57"/>
  <c r="C99" i="57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P107" i="57"/>
  <c r="P108" i="57"/>
  <c r="P123" i="57"/>
  <c r="P124" i="57"/>
  <c r="P128" i="57"/>
  <c r="P99" i="50"/>
  <c r="P101" i="49"/>
  <c r="P102" i="48"/>
  <c r="P101" i="47"/>
  <c r="P104" i="44"/>
  <c r="P105" i="43"/>
  <c r="P105" i="42"/>
  <c r="C127" i="57" l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B100" i="57"/>
  <c r="F19" i="57"/>
  <c r="N105" i="41"/>
  <c r="O105" i="41" s="1"/>
  <c r="L105" i="41"/>
  <c r="M105" i="41" s="1"/>
  <c r="N105" i="40"/>
  <c r="O105" i="40" s="1"/>
  <c r="L105" i="40"/>
  <c r="M105" i="40" s="1"/>
  <c r="N106" i="39"/>
  <c r="O106" i="39" s="1"/>
  <c r="L106" i="39"/>
  <c r="M106" i="39" s="1"/>
  <c r="N105" i="38"/>
  <c r="O105" i="38" s="1"/>
  <c r="L105" i="38"/>
  <c r="M105" i="38" s="1"/>
  <c r="N106" i="37"/>
  <c r="O106" i="37" s="1"/>
  <c r="L106" i="37"/>
  <c r="M106" i="37" s="1"/>
  <c r="N109" i="31"/>
  <c r="O109" i="31" s="1"/>
  <c r="L109" i="31"/>
  <c r="M109" i="31" s="1"/>
  <c r="N108" i="30"/>
  <c r="O108" i="30" s="1"/>
  <c r="L108" i="30"/>
  <c r="M108" i="30" s="1"/>
  <c r="N109" i="29"/>
  <c r="O109" i="29" s="1"/>
  <c r="L109" i="29"/>
  <c r="M109" i="29" s="1"/>
  <c r="N109" i="28"/>
  <c r="O109" i="28" s="1"/>
  <c r="L109" i="28"/>
  <c r="M109" i="28" s="1"/>
  <c r="N110" i="27"/>
  <c r="O110" i="27" s="1"/>
  <c r="L110" i="27"/>
  <c r="M110" i="27" s="1"/>
  <c r="N111" i="24"/>
  <c r="O111" i="24" s="1"/>
  <c r="P111" i="24" s="1"/>
  <c r="L111" i="24"/>
  <c r="M111" i="24" s="1"/>
  <c r="N113" i="25"/>
  <c r="O113" i="25" s="1"/>
  <c r="L113" i="25"/>
  <c r="M113" i="25" s="1"/>
  <c r="P105" i="40" l="1"/>
  <c r="P109" i="31"/>
  <c r="P105" i="41"/>
  <c r="P113" i="25"/>
  <c r="P108" i="30"/>
  <c r="P106" i="37"/>
  <c r="P105" i="38"/>
  <c r="P109" i="28"/>
  <c r="D20" i="57"/>
  <c r="E20" i="57" s="1"/>
  <c r="P106" i="39"/>
  <c r="P109" i="29"/>
  <c r="P110" i="27"/>
  <c r="F20" i="57" l="1"/>
  <c r="B20" i="57"/>
  <c r="M18" i="56"/>
  <c r="N18" i="56" s="1"/>
  <c r="K18" i="56"/>
  <c r="L18" i="56" s="1"/>
  <c r="D18" i="52"/>
  <c r="M17" i="52"/>
  <c r="N17" i="52" s="1"/>
  <c r="K17" i="52"/>
  <c r="L17" i="52" s="1"/>
  <c r="M18" i="51"/>
  <c r="N18" i="51" s="1"/>
  <c r="O18" i="51" s="1"/>
  <c r="K18" i="51"/>
  <c r="L18" i="51" s="1"/>
  <c r="M17" i="51"/>
  <c r="N17" i="51" s="1"/>
  <c r="K17" i="51"/>
  <c r="L17" i="51" s="1"/>
  <c r="M18" i="50"/>
  <c r="N18" i="50" s="1"/>
  <c r="K18" i="50"/>
  <c r="L18" i="50" s="1"/>
  <c r="M20" i="49"/>
  <c r="N20" i="49" s="1"/>
  <c r="K20" i="49"/>
  <c r="L20" i="49" s="1"/>
  <c r="M21" i="48"/>
  <c r="N21" i="48" s="1"/>
  <c r="K21" i="48"/>
  <c r="L21" i="48" s="1"/>
  <c r="M20" i="47"/>
  <c r="N20" i="47" s="1"/>
  <c r="K20" i="47"/>
  <c r="L20" i="47" s="1"/>
  <c r="M22" i="46"/>
  <c r="N22" i="46" s="1"/>
  <c r="K22" i="46"/>
  <c r="L22" i="46" s="1"/>
  <c r="M23" i="45"/>
  <c r="N23" i="45" s="1"/>
  <c r="K23" i="45"/>
  <c r="L23" i="45" s="1"/>
  <c r="M23" i="44"/>
  <c r="N23" i="44" s="1"/>
  <c r="O23" i="44" s="1"/>
  <c r="K23" i="44"/>
  <c r="L23" i="44" s="1"/>
  <c r="M24" i="43"/>
  <c r="N24" i="43" s="1"/>
  <c r="K24" i="43"/>
  <c r="L24" i="43" s="1"/>
  <c r="M24" i="42"/>
  <c r="N24" i="42" s="1"/>
  <c r="K24" i="42"/>
  <c r="L24" i="42" s="1"/>
  <c r="M24" i="41"/>
  <c r="N24" i="41" s="1"/>
  <c r="K24" i="41"/>
  <c r="L24" i="41" s="1"/>
  <c r="N24" i="40"/>
  <c r="M24" i="40"/>
  <c r="K24" i="40"/>
  <c r="L24" i="40" s="1"/>
  <c r="M25" i="39"/>
  <c r="N25" i="39" s="1"/>
  <c r="K25" i="39"/>
  <c r="L25" i="39" s="1"/>
  <c r="M25" i="38"/>
  <c r="N25" i="38" s="1"/>
  <c r="K25" i="38"/>
  <c r="L25" i="38" s="1"/>
  <c r="M25" i="37"/>
  <c r="N25" i="37" s="1"/>
  <c r="K25" i="37"/>
  <c r="L25" i="37" s="1"/>
  <c r="M28" i="31"/>
  <c r="N28" i="31" s="1"/>
  <c r="K28" i="31"/>
  <c r="L28" i="31" s="1"/>
  <c r="M27" i="30"/>
  <c r="N27" i="30" s="1"/>
  <c r="K27" i="30"/>
  <c r="L27" i="30" s="1"/>
  <c r="M28" i="29"/>
  <c r="N28" i="29" s="1"/>
  <c r="K28" i="29"/>
  <c r="L28" i="29" s="1"/>
  <c r="M28" i="28"/>
  <c r="N28" i="28" s="1"/>
  <c r="K28" i="28"/>
  <c r="L28" i="28" s="1"/>
  <c r="M29" i="27"/>
  <c r="N29" i="27" s="1"/>
  <c r="K29" i="27"/>
  <c r="L29" i="27" s="1"/>
  <c r="M32" i="25"/>
  <c r="N32" i="25" s="1"/>
  <c r="K32" i="25"/>
  <c r="L32" i="25" s="1"/>
  <c r="D117" i="9"/>
  <c r="O20" i="49" l="1"/>
  <c r="O22" i="46"/>
  <c r="O24" i="43"/>
  <c r="O29" i="27"/>
  <c r="O28" i="29"/>
  <c r="O25" i="38"/>
  <c r="O24" i="42"/>
  <c r="O17" i="51"/>
  <c r="O17" i="52"/>
  <c r="O28" i="28"/>
  <c r="O27" i="30"/>
  <c r="O32" i="25"/>
  <c r="D21" i="57"/>
  <c r="E21" i="57" s="1"/>
  <c r="O18" i="56"/>
  <c r="O21" i="48"/>
  <c r="O20" i="47"/>
  <c r="O23" i="45"/>
  <c r="O24" i="41"/>
  <c r="O24" i="40"/>
  <c r="O25" i="39"/>
  <c r="O25" i="37"/>
  <c r="O28" i="31"/>
  <c r="B21" i="57" l="1"/>
  <c r="F21" i="57"/>
  <c r="N112" i="23"/>
  <c r="O112" i="23" s="1"/>
  <c r="L112" i="23"/>
  <c r="M112" i="23" s="1"/>
  <c r="M31" i="23"/>
  <c r="K31" i="23"/>
  <c r="L31" i="23" s="1"/>
  <c r="M32" i="22"/>
  <c r="N32" i="22" s="1"/>
  <c r="K32" i="22"/>
  <c r="L32" i="22" s="1"/>
  <c r="D33" i="22"/>
  <c r="N116" i="11"/>
  <c r="O116" i="11" s="1"/>
  <c r="L116" i="11"/>
  <c r="M116" i="11" s="1"/>
  <c r="M35" i="11"/>
  <c r="N35" i="11" s="1"/>
  <c r="K35" i="11"/>
  <c r="L35" i="11" s="1"/>
  <c r="N117" i="10"/>
  <c r="O117" i="10" s="1"/>
  <c r="L117" i="10"/>
  <c r="M117" i="10" s="1"/>
  <c r="M36" i="10"/>
  <c r="K36" i="10"/>
  <c r="L36" i="10" s="1"/>
  <c r="N116" i="9"/>
  <c r="L116" i="9"/>
  <c r="M116" i="9" s="1"/>
  <c r="M35" i="9"/>
  <c r="N35" i="9" s="1"/>
  <c r="K35" i="9"/>
  <c r="L35" i="9" s="1"/>
  <c r="N115" i="8"/>
  <c r="L115" i="8"/>
  <c r="M115" i="8" s="1"/>
  <c r="M34" i="8"/>
  <c r="K34" i="8"/>
  <c r="L34" i="8" s="1"/>
  <c r="N117" i="7"/>
  <c r="L117" i="7"/>
  <c r="M117" i="7" s="1"/>
  <c r="M36" i="7"/>
  <c r="N36" i="7" s="1"/>
  <c r="K36" i="7"/>
  <c r="L36" i="7" s="1"/>
  <c r="N115" i="6"/>
  <c r="O115" i="6" s="1"/>
  <c r="L115" i="6"/>
  <c r="M115" i="6" s="1"/>
  <c r="M34" i="6"/>
  <c r="N34" i="6" s="1"/>
  <c r="K34" i="6"/>
  <c r="L34" i="6" s="1"/>
  <c r="N114" i="5"/>
  <c r="L114" i="5"/>
  <c r="M114" i="5" s="1"/>
  <c r="M33" i="5"/>
  <c r="N33" i="5" s="1"/>
  <c r="K33" i="5"/>
  <c r="L33" i="5" s="1"/>
  <c r="N114" i="4"/>
  <c r="O114" i="4" s="1"/>
  <c r="L114" i="4"/>
  <c r="M114" i="4" s="1"/>
  <c r="M33" i="4"/>
  <c r="N33" i="4" s="1"/>
  <c r="K33" i="4"/>
  <c r="L33" i="4" s="1"/>
  <c r="N114" i="3"/>
  <c r="O114" i="3" s="1"/>
  <c r="L114" i="3"/>
  <c r="M114" i="3" s="1"/>
  <c r="M33" i="3"/>
  <c r="N33" i="3" s="1"/>
  <c r="K33" i="3"/>
  <c r="L33" i="3" s="1"/>
  <c r="O34" i="6" l="1"/>
  <c r="O33" i="3"/>
  <c r="O33" i="5"/>
  <c r="O33" i="4"/>
  <c r="D22" i="57"/>
  <c r="E22" i="57" s="1"/>
  <c r="P112" i="23"/>
  <c r="P115" i="6"/>
  <c r="O32" i="22"/>
  <c r="P116" i="11"/>
  <c r="P117" i="10"/>
  <c r="O35" i="9"/>
  <c r="J114" i="5"/>
  <c r="P114" i="4"/>
  <c r="P114" i="3"/>
  <c r="B22" i="57" l="1"/>
  <c r="F22" i="57"/>
  <c r="D23" i="57" l="1"/>
  <c r="E23" i="57" s="1"/>
  <c r="B23" i="57" l="1"/>
  <c r="F23" i="57"/>
  <c r="D24" i="57" l="1"/>
  <c r="E24" i="57" s="1"/>
  <c r="B24" i="57" l="1"/>
  <c r="F24" i="57"/>
  <c r="D25" i="57" l="1"/>
  <c r="E25" i="57" s="1"/>
  <c r="F25" i="57" l="1"/>
  <c r="B25" i="57"/>
  <c r="D26" i="57" l="1"/>
  <c r="E26" i="57"/>
  <c r="F26" i="57" l="1"/>
  <c r="B26" i="57"/>
  <c r="D27" i="57" l="1"/>
  <c r="E27" i="57" s="1"/>
  <c r="F27" i="57" l="1"/>
  <c r="B27" i="57"/>
  <c r="D28" i="57" l="1"/>
  <c r="E28" i="57" s="1"/>
  <c r="F28" i="57" l="1"/>
  <c r="B28" i="57"/>
  <c r="D29" i="57" l="1"/>
  <c r="E29" i="57" s="1"/>
  <c r="B29" i="57" l="1"/>
  <c r="F29" i="57"/>
  <c r="D30" i="57" l="1"/>
  <c r="E30" i="57" s="1"/>
  <c r="B30" i="57" l="1"/>
  <c r="F30" i="57"/>
  <c r="D31" i="57" l="1"/>
  <c r="E31" i="57" s="1"/>
  <c r="B31" i="57" l="1"/>
  <c r="F31" i="57"/>
  <c r="D32" i="57" l="1"/>
  <c r="E32" i="57" s="1"/>
  <c r="B32" i="57" l="1"/>
  <c r="F32" i="57"/>
  <c r="D33" i="57" l="1"/>
  <c r="E33" i="57" s="1"/>
  <c r="F33" i="57" l="1"/>
  <c r="B33" i="57"/>
  <c r="D34" i="57" l="1"/>
  <c r="E34" i="57" s="1"/>
  <c r="F34" i="57" l="1"/>
  <c r="B34" i="57"/>
  <c r="D35" i="57" l="1"/>
  <c r="E35" i="57" s="1"/>
  <c r="F35" i="57" l="1"/>
  <c r="B35" i="57"/>
  <c r="D36" i="57" l="1"/>
  <c r="E36" i="57" s="1"/>
  <c r="F36" i="57" l="1"/>
  <c r="B36" i="57"/>
  <c r="D37" i="57" l="1"/>
  <c r="E37" i="57" s="1"/>
  <c r="E91" i="56"/>
  <c r="E91" i="52"/>
  <c r="E91" i="51"/>
  <c r="E91" i="50"/>
  <c r="D91" i="49"/>
  <c r="E91" i="49"/>
  <c r="E91" i="48"/>
  <c r="E91" i="47"/>
  <c r="D91" i="47"/>
  <c r="D91" i="46"/>
  <c r="E91" i="46"/>
  <c r="E91" i="45"/>
  <c r="E91" i="44"/>
  <c r="E91" i="43"/>
  <c r="E91" i="42"/>
  <c r="E91" i="41"/>
  <c r="E91" i="40"/>
  <c r="E91" i="39"/>
  <c r="E91" i="38"/>
  <c r="E91" i="37"/>
  <c r="E91" i="27"/>
  <c r="E91" i="25"/>
  <c r="E91" i="24"/>
  <c r="F91" i="23"/>
  <c r="E91" i="23"/>
  <c r="F91" i="22"/>
  <c r="E91" i="22"/>
  <c r="F91" i="11"/>
  <c r="E91" i="11"/>
  <c r="F91" i="10"/>
  <c r="E91" i="10"/>
  <c r="B37" i="57" l="1"/>
  <c r="F37" i="57"/>
  <c r="F91" i="9"/>
  <c r="E91" i="9"/>
  <c r="F91" i="8"/>
  <c r="E91" i="8"/>
  <c r="F91" i="7"/>
  <c r="E91" i="7"/>
  <c r="F91" i="6"/>
  <c r="F91" i="5"/>
  <c r="E91" i="5"/>
  <c r="F91" i="4"/>
  <c r="F91" i="3"/>
  <c r="E91" i="3"/>
  <c r="D38" i="57" l="1"/>
  <c r="E38" i="57" s="1"/>
  <c r="D93" i="56"/>
  <c r="M17" i="56"/>
  <c r="N17" i="56" s="1"/>
  <c r="K17" i="56"/>
  <c r="L17" i="56" s="1"/>
  <c r="P154" i="56"/>
  <c r="O154" i="56"/>
  <c r="M154" i="56"/>
  <c r="J154" i="56"/>
  <c r="P153" i="56"/>
  <c r="O153" i="56"/>
  <c r="M153" i="56"/>
  <c r="J153" i="56"/>
  <c r="P152" i="56"/>
  <c r="O152" i="56"/>
  <c r="M152" i="56"/>
  <c r="J152" i="56"/>
  <c r="P151" i="56"/>
  <c r="O151" i="56"/>
  <c r="M151" i="56"/>
  <c r="J151" i="56"/>
  <c r="P150" i="56"/>
  <c r="O150" i="56"/>
  <c r="M150" i="56"/>
  <c r="J150" i="56"/>
  <c r="P149" i="56"/>
  <c r="O149" i="56"/>
  <c r="M149" i="56"/>
  <c r="J149" i="56"/>
  <c r="P148" i="56"/>
  <c r="O148" i="56"/>
  <c r="M148" i="56"/>
  <c r="J148" i="56"/>
  <c r="P147" i="56"/>
  <c r="O147" i="56"/>
  <c r="M147" i="56"/>
  <c r="J147" i="56"/>
  <c r="P146" i="56"/>
  <c r="O146" i="56"/>
  <c r="M146" i="56"/>
  <c r="J146" i="56"/>
  <c r="P145" i="56"/>
  <c r="O145" i="56"/>
  <c r="M145" i="56"/>
  <c r="J145" i="56"/>
  <c r="P144" i="56"/>
  <c r="O144" i="56"/>
  <c r="M144" i="56"/>
  <c r="J144" i="56"/>
  <c r="P143" i="56"/>
  <c r="O143" i="56"/>
  <c r="M143" i="56"/>
  <c r="J143" i="56"/>
  <c r="P142" i="56"/>
  <c r="O142" i="56"/>
  <c r="M142" i="56"/>
  <c r="J142" i="56"/>
  <c r="P141" i="56"/>
  <c r="O141" i="56"/>
  <c r="M141" i="56"/>
  <c r="J141" i="56"/>
  <c r="P140" i="56"/>
  <c r="O140" i="56"/>
  <c r="M140" i="56"/>
  <c r="J140" i="56"/>
  <c r="P139" i="56"/>
  <c r="O139" i="56"/>
  <c r="M139" i="56"/>
  <c r="J139" i="56"/>
  <c r="P138" i="56"/>
  <c r="O138" i="56"/>
  <c r="M138" i="56"/>
  <c r="J138" i="56"/>
  <c r="P137" i="56"/>
  <c r="O137" i="56"/>
  <c r="M137" i="56"/>
  <c r="J137" i="56"/>
  <c r="P136" i="56"/>
  <c r="O136" i="56"/>
  <c r="M136" i="56"/>
  <c r="J136" i="56"/>
  <c r="P135" i="56"/>
  <c r="O135" i="56"/>
  <c r="M135" i="56"/>
  <c r="J135" i="56"/>
  <c r="P134" i="56"/>
  <c r="O134" i="56"/>
  <c r="M134" i="56"/>
  <c r="J134" i="56"/>
  <c r="P133" i="56"/>
  <c r="O133" i="56"/>
  <c r="M133" i="56"/>
  <c r="J133" i="56"/>
  <c r="P132" i="56"/>
  <c r="O132" i="56"/>
  <c r="M132" i="56"/>
  <c r="J132" i="56"/>
  <c r="P131" i="56"/>
  <c r="O131" i="56"/>
  <c r="M131" i="56"/>
  <c r="J131" i="56"/>
  <c r="O130" i="56"/>
  <c r="M130" i="56"/>
  <c r="O129" i="56"/>
  <c r="M129" i="56"/>
  <c r="O128" i="56"/>
  <c r="M128" i="56"/>
  <c r="O127" i="56"/>
  <c r="M127" i="56"/>
  <c r="O126" i="56"/>
  <c r="M126" i="56"/>
  <c r="O125" i="56"/>
  <c r="M125" i="56"/>
  <c r="O124" i="56"/>
  <c r="M124" i="56"/>
  <c r="O123" i="56"/>
  <c r="M123" i="56"/>
  <c r="O122" i="56"/>
  <c r="M122" i="56"/>
  <c r="O121" i="56"/>
  <c r="M121" i="56"/>
  <c r="O120" i="56"/>
  <c r="M120" i="56"/>
  <c r="O119" i="56"/>
  <c r="M119" i="56"/>
  <c r="O118" i="56"/>
  <c r="M118" i="56"/>
  <c r="O117" i="56"/>
  <c r="M117" i="56"/>
  <c r="O116" i="56"/>
  <c r="M116" i="56"/>
  <c r="O115" i="56"/>
  <c r="M115" i="56"/>
  <c r="O114" i="56"/>
  <c r="M114" i="56"/>
  <c r="O113" i="56"/>
  <c r="M113" i="56"/>
  <c r="O112" i="56"/>
  <c r="M112" i="56"/>
  <c r="O111" i="56"/>
  <c r="M111" i="56"/>
  <c r="O110" i="56"/>
  <c r="M110" i="56"/>
  <c r="O109" i="56"/>
  <c r="M109" i="56"/>
  <c r="O108" i="56"/>
  <c r="M108" i="56"/>
  <c r="O107" i="56"/>
  <c r="M107" i="56"/>
  <c r="O106" i="56"/>
  <c r="M106" i="56"/>
  <c r="O105" i="56"/>
  <c r="M105" i="56"/>
  <c r="O104" i="56"/>
  <c r="M104" i="56"/>
  <c r="O103" i="56"/>
  <c r="M103" i="56"/>
  <c r="O102" i="56"/>
  <c r="M102" i="56"/>
  <c r="O101" i="56"/>
  <c r="M101" i="56"/>
  <c r="O100" i="56"/>
  <c r="M100" i="56"/>
  <c r="C99" i="56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D96" i="56"/>
  <c r="L93" i="56"/>
  <c r="J93" i="56"/>
  <c r="D91" i="56"/>
  <c r="D89" i="56"/>
  <c r="N72" i="56"/>
  <c r="L72" i="56"/>
  <c r="N71" i="56"/>
  <c r="L71" i="56"/>
  <c r="N70" i="56"/>
  <c r="L70" i="56"/>
  <c r="N69" i="56"/>
  <c r="L69" i="56"/>
  <c r="N68" i="56"/>
  <c r="L68" i="56"/>
  <c r="N67" i="56"/>
  <c r="L67" i="56"/>
  <c r="N66" i="56"/>
  <c r="L66" i="56"/>
  <c r="N65" i="56"/>
  <c r="L65" i="56"/>
  <c r="N64" i="56"/>
  <c r="L64" i="56"/>
  <c r="N63" i="56"/>
  <c r="L63" i="56"/>
  <c r="N62" i="56"/>
  <c r="L62" i="56"/>
  <c r="N61" i="56"/>
  <c r="L61" i="56"/>
  <c r="N60" i="56"/>
  <c r="L60" i="56"/>
  <c r="N59" i="56"/>
  <c r="L59" i="56"/>
  <c r="N58" i="56"/>
  <c r="L58" i="56"/>
  <c r="N57" i="56"/>
  <c r="L57" i="56"/>
  <c r="N56" i="56"/>
  <c r="L56" i="56"/>
  <c r="N55" i="56"/>
  <c r="L55" i="56"/>
  <c r="N54" i="56"/>
  <c r="L54" i="56"/>
  <c r="N53" i="56"/>
  <c r="L53" i="56"/>
  <c r="N52" i="56"/>
  <c r="L52" i="56"/>
  <c r="N51" i="56"/>
  <c r="L51" i="56"/>
  <c r="N50" i="56"/>
  <c r="L50" i="56"/>
  <c r="N49" i="56"/>
  <c r="L49" i="56"/>
  <c r="N48" i="56"/>
  <c r="L48" i="56"/>
  <c r="N47" i="56"/>
  <c r="L47" i="56"/>
  <c r="N46" i="56"/>
  <c r="L46" i="56"/>
  <c r="N45" i="56"/>
  <c r="L45" i="56"/>
  <c r="N44" i="56"/>
  <c r="L44" i="56"/>
  <c r="N43" i="56"/>
  <c r="L43" i="56"/>
  <c r="N42" i="56"/>
  <c r="L42" i="56"/>
  <c r="N41" i="56"/>
  <c r="L41" i="56"/>
  <c r="N40" i="56"/>
  <c r="L40" i="56"/>
  <c r="N39" i="56"/>
  <c r="L39" i="56"/>
  <c r="N38" i="56"/>
  <c r="L38" i="56"/>
  <c r="N37" i="56"/>
  <c r="L37" i="56"/>
  <c r="N36" i="56"/>
  <c r="L36" i="56"/>
  <c r="N35" i="56"/>
  <c r="L35" i="56"/>
  <c r="N34" i="56"/>
  <c r="L34" i="56"/>
  <c r="N33" i="56"/>
  <c r="L33" i="56"/>
  <c r="N32" i="56"/>
  <c r="L32" i="56"/>
  <c r="N31" i="56"/>
  <c r="L31" i="56"/>
  <c r="N30" i="56"/>
  <c r="L30" i="56"/>
  <c r="N29" i="56"/>
  <c r="L29" i="56"/>
  <c r="N28" i="56"/>
  <c r="L28" i="56"/>
  <c r="N27" i="56"/>
  <c r="L27" i="56"/>
  <c r="N26" i="56"/>
  <c r="L26" i="56"/>
  <c r="N25" i="56"/>
  <c r="L25" i="56"/>
  <c r="N24" i="56"/>
  <c r="L24" i="56"/>
  <c r="N23" i="56"/>
  <c r="L23" i="56"/>
  <c r="N22" i="56"/>
  <c r="L22" i="56"/>
  <c r="N21" i="56"/>
  <c r="L21" i="56"/>
  <c r="N20" i="56"/>
  <c r="L20" i="56"/>
  <c r="N19" i="56"/>
  <c r="L19" i="56"/>
  <c r="C17" i="56"/>
  <c r="K11" i="56"/>
  <c r="I11" i="56"/>
  <c r="P1" i="56"/>
  <c r="P83" i="56" s="1"/>
  <c r="P1" i="52"/>
  <c r="P1" i="51"/>
  <c r="P1" i="50"/>
  <c r="P83" i="49"/>
  <c r="P1" i="49"/>
  <c r="P1" i="48"/>
  <c r="P83" i="48"/>
  <c r="P1" i="47"/>
  <c r="B38" i="57" l="1"/>
  <c r="F38" i="57"/>
  <c r="P113" i="56"/>
  <c r="O35" i="56"/>
  <c r="O39" i="56"/>
  <c r="P103" i="56"/>
  <c r="P115" i="56"/>
  <c r="P119" i="56"/>
  <c r="P121" i="56"/>
  <c r="P117" i="56"/>
  <c r="P111" i="56"/>
  <c r="P105" i="56"/>
  <c r="P109" i="56"/>
  <c r="O71" i="56"/>
  <c r="O40" i="56"/>
  <c r="O48" i="56"/>
  <c r="O52" i="56"/>
  <c r="O56" i="56"/>
  <c r="O64" i="56"/>
  <c r="O72" i="56"/>
  <c r="O22" i="56"/>
  <c r="O26" i="56"/>
  <c r="O38" i="56"/>
  <c r="P118" i="56"/>
  <c r="P107" i="56"/>
  <c r="O59" i="56"/>
  <c r="O20" i="56"/>
  <c r="O28" i="56"/>
  <c r="O32" i="56"/>
  <c r="P101" i="56"/>
  <c r="O43" i="56"/>
  <c r="P108" i="56"/>
  <c r="O41" i="56"/>
  <c r="O61" i="56"/>
  <c r="O69" i="56"/>
  <c r="P125" i="56"/>
  <c r="P129" i="56"/>
  <c r="O17" i="56"/>
  <c r="O45" i="56"/>
  <c r="O49" i="56"/>
  <c r="O57" i="56"/>
  <c r="O65" i="56"/>
  <c r="O25" i="56"/>
  <c r="O50" i="56"/>
  <c r="O54" i="56"/>
  <c r="O66" i="56"/>
  <c r="O33" i="56"/>
  <c r="O63" i="56"/>
  <c r="O24" i="56"/>
  <c r="O36" i="56"/>
  <c r="O30" i="56"/>
  <c r="O37" i="56"/>
  <c r="O44" i="56"/>
  <c r="O51" i="56"/>
  <c r="O55" i="56"/>
  <c r="O62" i="56"/>
  <c r="O27" i="56"/>
  <c r="O70" i="56"/>
  <c r="O21" i="56"/>
  <c r="P102" i="56"/>
  <c r="O42" i="56"/>
  <c r="O46" i="56"/>
  <c r="O53" i="56"/>
  <c r="O60" i="56"/>
  <c r="O19" i="56"/>
  <c r="O29" i="56"/>
  <c r="P123" i="56"/>
  <c r="P127" i="56"/>
  <c r="C127" i="56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O34" i="56"/>
  <c r="O47" i="56"/>
  <c r="O58" i="56"/>
  <c r="C18" i="56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O31" i="56"/>
  <c r="O23" i="56"/>
  <c r="O68" i="56"/>
  <c r="P112" i="56"/>
  <c r="P110" i="56"/>
  <c r="O67" i="56"/>
  <c r="P114" i="56"/>
  <c r="P100" i="56"/>
  <c r="P116" i="56"/>
  <c r="P104" i="56"/>
  <c r="P120" i="56"/>
  <c r="P106" i="56"/>
  <c r="P122" i="56"/>
  <c r="P124" i="56"/>
  <c r="P126" i="56"/>
  <c r="P128" i="56"/>
  <c r="P130" i="56"/>
  <c r="D39" i="57" l="1"/>
  <c r="E39" i="57" s="1"/>
  <c r="C45" i="56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B39" i="57" l="1"/>
  <c r="F39" i="57"/>
  <c r="I17" i="56"/>
  <c r="D40" i="57" l="1"/>
  <c r="E40" i="57" s="1"/>
  <c r="H3" i="17"/>
  <c r="B40" i="57" l="1"/>
  <c r="F40" i="57"/>
  <c r="W52" i="17"/>
  <c r="W51" i="17"/>
  <c r="W50" i="17"/>
  <c r="W49" i="17"/>
  <c r="D41" i="57" l="1"/>
  <c r="E41" i="57" s="1"/>
  <c r="P154" i="52"/>
  <c r="O154" i="52"/>
  <c r="M154" i="52"/>
  <c r="J154" i="52"/>
  <c r="P153" i="52"/>
  <c r="O153" i="52"/>
  <c r="M153" i="52"/>
  <c r="J153" i="52"/>
  <c r="P152" i="52"/>
  <c r="O152" i="52"/>
  <c r="M152" i="52"/>
  <c r="J152" i="52"/>
  <c r="P151" i="52"/>
  <c r="O151" i="52"/>
  <c r="M151" i="52"/>
  <c r="J151" i="52"/>
  <c r="P150" i="52"/>
  <c r="O150" i="52"/>
  <c r="M150" i="52"/>
  <c r="J150" i="52"/>
  <c r="P149" i="52"/>
  <c r="O149" i="52"/>
  <c r="M149" i="52"/>
  <c r="J149" i="52"/>
  <c r="P148" i="52"/>
  <c r="O148" i="52"/>
  <c r="M148" i="52"/>
  <c r="J148" i="52"/>
  <c r="P147" i="52"/>
  <c r="O147" i="52"/>
  <c r="M147" i="52"/>
  <c r="J147" i="52"/>
  <c r="P146" i="52"/>
  <c r="O146" i="52"/>
  <c r="M146" i="52"/>
  <c r="J146" i="52"/>
  <c r="P145" i="52"/>
  <c r="O145" i="52"/>
  <c r="M145" i="52"/>
  <c r="J145" i="52"/>
  <c r="P144" i="52"/>
  <c r="O144" i="52"/>
  <c r="M144" i="52"/>
  <c r="J144" i="52"/>
  <c r="P143" i="52"/>
  <c r="O143" i="52"/>
  <c r="M143" i="52"/>
  <c r="J143" i="52"/>
  <c r="P142" i="52"/>
  <c r="O142" i="52"/>
  <c r="M142" i="52"/>
  <c r="J142" i="52"/>
  <c r="P141" i="52"/>
  <c r="O141" i="52"/>
  <c r="M141" i="52"/>
  <c r="J141" i="52"/>
  <c r="P140" i="52"/>
  <c r="O140" i="52"/>
  <c r="M140" i="52"/>
  <c r="J140" i="52"/>
  <c r="P139" i="52"/>
  <c r="O139" i="52"/>
  <c r="M139" i="52"/>
  <c r="J139" i="52"/>
  <c r="P138" i="52"/>
  <c r="O138" i="52"/>
  <c r="M138" i="52"/>
  <c r="J138" i="52"/>
  <c r="P137" i="52"/>
  <c r="O137" i="52"/>
  <c r="M137" i="52"/>
  <c r="J137" i="52"/>
  <c r="P136" i="52"/>
  <c r="O136" i="52"/>
  <c r="M136" i="52"/>
  <c r="J136" i="52"/>
  <c r="P135" i="52"/>
  <c r="O135" i="52"/>
  <c r="M135" i="52"/>
  <c r="J135" i="52"/>
  <c r="P134" i="52"/>
  <c r="O134" i="52"/>
  <c r="M134" i="52"/>
  <c r="J134" i="52"/>
  <c r="P133" i="52"/>
  <c r="O133" i="52"/>
  <c r="M133" i="52"/>
  <c r="J133" i="52"/>
  <c r="P132" i="52"/>
  <c r="O132" i="52"/>
  <c r="M132" i="52"/>
  <c r="J132" i="52"/>
  <c r="P131" i="52"/>
  <c r="O131" i="52"/>
  <c r="M131" i="52"/>
  <c r="J131" i="52"/>
  <c r="O130" i="52"/>
  <c r="M130" i="52"/>
  <c r="O129" i="52"/>
  <c r="M129" i="52"/>
  <c r="O128" i="52"/>
  <c r="M128" i="52"/>
  <c r="O127" i="52"/>
  <c r="M127" i="52"/>
  <c r="O126" i="52"/>
  <c r="M126" i="52"/>
  <c r="O125" i="52"/>
  <c r="M125" i="52"/>
  <c r="O124" i="52"/>
  <c r="M124" i="52"/>
  <c r="O123" i="52"/>
  <c r="M123" i="52"/>
  <c r="O122" i="52"/>
  <c r="M122" i="52"/>
  <c r="O121" i="52"/>
  <c r="M121" i="52"/>
  <c r="O120" i="52"/>
  <c r="M120" i="52"/>
  <c r="O119" i="52"/>
  <c r="M119" i="52"/>
  <c r="O118" i="52"/>
  <c r="M118" i="52"/>
  <c r="O117" i="52"/>
  <c r="M117" i="52"/>
  <c r="O116" i="52"/>
  <c r="M116" i="52"/>
  <c r="O115" i="52"/>
  <c r="M115" i="52"/>
  <c r="O114" i="52"/>
  <c r="M114" i="52"/>
  <c r="O113" i="52"/>
  <c r="M113" i="52"/>
  <c r="O112" i="52"/>
  <c r="M112" i="52"/>
  <c r="O111" i="52"/>
  <c r="M111" i="52"/>
  <c r="O110" i="52"/>
  <c r="M110" i="52"/>
  <c r="O109" i="52"/>
  <c r="M109" i="52"/>
  <c r="O108" i="52"/>
  <c r="M108" i="52"/>
  <c r="O107" i="52"/>
  <c r="M107" i="52"/>
  <c r="O106" i="52"/>
  <c r="M106" i="52"/>
  <c r="O105" i="52"/>
  <c r="M105" i="52"/>
  <c r="O104" i="52"/>
  <c r="M104" i="52"/>
  <c r="O103" i="52"/>
  <c r="M103" i="52"/>
  <c r="O102" i="52"/>
  <c r="M102" i="52"/>
  <c r="O101" i="52"/>
  <c r="M101" i="52"/>
  <c r="O100" i="52"/>
  <c r="M100" i="52"/>
  <c r="O99" i="52"/>
  <c r="M99" i="52"/>
  <c r="C99" i="52"/>
  <c r="C100" i="52" s="1"/>
  <c r="C101" i="52" s="1"/>
  <c r="C102" i="52" s="1"/>
  <c r="C103" i="52" s="1"/>
  <c r="C104" i="52" s="1"/>
  <c r="C105" i="52" s="1"/>
  <c r="C106" i="52" s="1"/>
  <c r="C107" i="52" s="1"/>
  <c r="C108" i="52" s="1"/>
  <c r="C109" i="52" s="1"/>
  <c r="C110" i="52" s="1"/>
  <c r="C111" i="52" s="1"/>
  <c r="C112" i="52" s="1"/>
  <c r="C113" i="52" s="1"/>
  <c r="C114" i="52" s="1"/>
  <c r="C115" i="52" s="1"/>
  <c r="C116" i="52" s="1"/>
  <c r="C117" i="52" s="1"/>
  <c r="C118" i="52" s="1"/>
  <c r="C119" i="52" s="1"/>
  <c r="C120" i="52" s="1"/>
  <c r="C121" i="52" s="1"/>
  <c r="C122" i="52" s="1"/>
  <c r="C123" i="52" s="1"/>
  <c r="C124" i="52" s="1"/>
  <c r="C125" i="52" s="1"/>
  <c r="C126" i="52" s="1"/>
  <c r="C127" i="52" s="1"/>
  <c r="C128" i="52" s="1"/>
  <c r="C129" i="52" s="1"/>
  <c r="C130" i="52" s="1"/>
  <c r="C131" i="52" s="1"/>
  <c r="C132" i="52" s="1"/>
  <c r="C133" i="52" s="1"/>
  <c r="C134" i="52" s="1"/>
  <c r="C135" i="52" s="1"/>
  <c r="C136" i="52" s="1"/>
  <c r="C137" i="52" s="1"/>
  <c r="C138" i="52" s="1"/>
  <c r="C139" i="52" s="1"/>
  <c r="C140" i="52" s="1"/>
  <c r="C141" i="52" s="1"/>
  <c r="C142" i="52" s="1"/>
  <c r="C143" i="52" s="1"/>
  <c r="C144" i="52" s="1"/>
  <c r="C145" i="52" s="1"/>
  <c r="C146" i="52" s="1"/>
  <c r="C147" i="52" s="1"/>
  <c r="C148" i="52" s="1"/>
  <c r="C149" i="52" s="1"/>
  <c r="C150" i="52" s="1"/>
  <c r="C151" i="52" s="1"/>
  <c r="C152" i="52" s="1"/>
  <c r="C153" i="52" s="1"/>
  <c r="C154" i="52" s="1"/>
  <c r="D96" i="52"/>
  <c r="L93" i="52"/>
  <c r="J93" i="52"/>
  <c r="D91" i="52"/>
  <c r="D89" i="52"/>
  <c r="N72" i="52"/>
  <c r="L72" i="52"/>
  <c r="N71" i="52"/>
  <c r="L71" i="52"/>
  <c r="N70" i="52"/>
  <c r="L70" i="52"/>
  <c r="N69" i="52"/>
  <c r="L69" i="52"/>
  <c r="N68" i="52"/>
  <c r="L68" i="52"/>
  <c r="N67" i="52"/>
  <c r="L67" i="52"/>
  <c r="N66" i="52"/>
  <c r="L66" i="52"/>
  <c r="N65" i="52"/>
  <c r="L65" i="52"/>
  <c r="N64" i="52"/>
  <c r="L64" i="52"/>
  <c r="N63" i="52"/>
  <c r="L63" i="52"/>
  <c r="N62" i="52"/>
  <c r="L62" i="52"/>
  <c r="N61" i="52"/>
  <c r="L61" i="52"/>
  <c r="N60" i="52"/>
  <c r="L60" i="52"/>
  <c r="N59" i="52"/>
  <c r="L59" i="52"/>
  <c r="N58" i="52"/>
  <c r="L58" i="52"/>
  <c r="N57" i="52"/>
  <c r="L57" i="52"/>
  <c r="N56" i="52"/>
  <c r="L56" i="52"/>
  <c r="N55" i="52"/>
  <c r="L55" i="52"/>
  <c r="N54" i="52"/>
  <c r="L54" i="52"/>
  <c r="N53" i="52"/>
  <c r="L53" i="52"/>
  <c r="N52" i="52"/>
  <c r="L52" i="52"/>
  <c r="N51" i="52"/>
  <c r="L51" i="52"/>
  <c r="N50" i="52"/>
  <c r="L50" i="52"/>
  <c r="N49" i="52"/>
  <c r="L49" i="52"/>
  <c r="N48" i="52"/>
  <c r="L48" i="52"/>
  <c r="N47" i="52"/>
  <c r="L47" i="52"/>
  <c r="N46" i="52"/>
  <c r="L46" i="52"/>
  <c r="N45" i="52"/>
  <c r="L45" i="52"/>
  <c r="N44" i="52"/>
  <c r="L44" i="52"/>
  <c r="N43" i="52"/>
  <c r="L43" i="52"/>
  <c r="N42" i="52"/>
  <c r="L42" i="52"/>
  <c r="N41" i="52"/>
  <c r="L41" i="52"/>
  <c r="N40" i="52"/>
  <c r="L40" i="52"/>
  <c r="N39" i="52"/>
  <c r="L39" i="52"/>
  <c r="N38" i="52"/>
  <c r="L38" i="52"/>
  <c r="N37" i="52"/>
  <c r="L37" i="52"/>
  <c r="N36" i="52"/>
  <c r="L36" i="52"/>
  <c r="N35" i="52"/>
  <c r="L35" i="52"/>
  <c r="N34" i="52"/>
  <c r="L34" i="52"/>
  <c r="N33" i="52"/>
  <c r="L33" i="52"/>
  <c r="N32" i="52"/>
  <c r="L32" i="52"/>
  <c r="N31" i="52"/>
  <c r="L31" i="52"/>
  <c r="N30" i="52"/>
  <c r="L30" i="52"/>
  <c r="N29" i="52"/>
  <c r="L29" i="52"/>
  <c r="N28" i="52"/>
  <c r="L28" i="52"/>
  <c r="N27" i="52"/>
  <c r="L27" i="52"/>
  <c r="N26" i="52"/>
  <c r="L26" i="52"/>
  <c r="N25" i="52"/>
  <c r="L25" i="52"/>
  <c r="N24" i="52"/>
  <c r="L24" i="52"/>
  <c r="N23" i="52"/>
  <c r="L23" i="52"/>
  <c r="N22" i="52"/>
  <c r="L22" i="52"/>
  <c r="N21" i="52"/>
  <c r="L21" i="52"/>
  <c r="N20" i="52"/>
  <c r="L20" i="52"/>
  <c r="N19" i="52"/>
  <c r="L19" i="52"/>
  <c r="N18" i="52"/>
  <c r="L18" i="52"/>
  <c r="C17" i="52"/>
  <c r="C18" i="52" s="1"/>
  <c r="C19" i="52" s="1"/>
  <c r="C20" i="52" s="1"/>
  <c r="C21" i="52" s="1"/>
  <c r="C22" i="52" s="1"/>
  <c r="C23" i="52" s="1"/>
  <c r="C24" i="52" s="1"/>
  <c r="C25" i="52" s="1"/>
  <c r="C26" i="52" s="1"/>
  <c r="C27" i="52" s="1"/>
  <c r="C28" i="52" s="1"/>
  <c r="C29" i="52" s="1"/>
  <c r="C30" i="52" s="1"/>
  <c r="C31" i="52" s="1"/>
  <c r="C32" i="52" s="1"/>
  <c r="C33" i="52" s="1"/>
  <c r="C34" i="52" s="1"/>
  <c r="C35" i="52" s="1"/>
  <c r="C36" i="52" s="1"/>
  <c r="C37" i="52" s="1"/>
  <c r="C38" i="52" s="1"/>
  <c r="C39" i="52" s="1"/>
  <c r="C40" i="52" s="1"/>
  <c r="C41" i="52" s="1"/>
  <c r="C42" i="52" s="1"/>
  <c r="C43" i="52" s="1"/>
  <c r="C44" i="52" s="1"/>
  <c r="C45" i="52" s="1"/>
  <c r="C46" i="52" s="1"/>
  <c r="C47" i="52" s="1"/>
  <c r="C48" i="52" s="1"/>
  <c r="C49" i="52" s="1"/>
  <c r="C50" i="52" s="1"/>
  <c r="C51" i="52" s="1"/>
  <c r="C52" i="52" s="1"/>
  <c r="C53" i="52" s="1"/>
  <c r="C54" i="52" s="1"/>
  <c r="C55" i="52" s="1"/>
  <c r="C56" i="52" s="1"/>
  <c r="C57" i="52" s="1"/>
  <c r="C58" i="52" s="1"/>
  <c r="C59" i="52" s="1"/>
  <c r="C60" i="52" s="1"/>
  <c r="C61" i="52" s="1"/>
  <c r="C62" i="52" s="1"/>
  <c r="C63" i="52" s="1"/>
  <c r="C64" i="52" s="1"/>
  <c r="C65" i="52" s="1"/>
  <c r="C66" i="52" s="1"/>
  <c r="C67" i="52" s="1"/>
  <c r="C68" i="52" s="1"/>
  <c r="C69" i="52" s="1"/>
  <c r="C70" i="52" s="1"/>
  <c r="C71" i="52" s="1"/>
  <c r="C72" i="52" s="1"/>
  <c r="K11" i="52"/>
  <c r="I11" i="52"/>
  <c r="D8" i="52"/>
  <c r="D90" i="52" s="1"/>
  <c r="P83" i="52"/>
  <c r="P154" i="51"/>
  <c r="O154" i="51"/>
  <c r="M154" i="51"/>
  <c r="J154" i="51"/>
  <c r="P153" i="51"/>
  <c r="O153" i="51"/>
  <c r="M153" i="51"/>
  <c r="J153" i="51"/>
  <c r="P152" i="51"/>
  <c r="O152" i="51"/>
  <c r="M152" i="51"/>
  <c r="J152" i="51"/>
  <c r="P151" i="51"/>
  <c r="O151" i="51"/>
  <c r="M151" i="51"/>
  <c r="J151" i="51"/>
  <c r="P150" i="51"/>
  <c r="O150" i="51"/>
  <c r="M150" i="51"/>
  <c r="J150" i="51"/>
  <c r="P149" i="51"/>
  <c r="O149" i="51"/>
  <c r="M149" i="51"/>
  <c r="J149" i="51"/>
  <c r="P148" i="51"/>
  <c r="O148" i="51"/>
  <c r="M148" i="51"/>
  <c r="J148" i="51"/>
  <c r="P147" i="51"/>
  <c r="O147" i="51"/>
  <c r="M147" i="51"/>
  <c r="J147" i="51"/>
  <c r="P146" i="51"/>
  <c r="O146" i="51"/>
  <c r="M146" i="51"/>
  <c r="J146" i="51"/>
  <c r="P145" i="51"/>
  <c r="O145" i="51"/>
  <c r="M145" i="51"/>
  <c r="J145" i="51"/>
  <c r="P144" i="51"/>
  <c r="O144" i="51"/>
  <c r="M144" i="51"/>
  <c r="J144" i="51"/>
  <c r="P143" i="51"/>
  <c r="O143" i="51"/>
  <c r="M143" i="51"/>
  <c r="J143" i="51"/>
  <c r="P142" i="51"/>
  <c r="O142" i="51"/>
  <c r="M142" i="51"/>
  <c r="J142" i="51"/>
  <c r="P141" i="51"/>
  <c r="O141" i="51"/>
  <c r="M141" i="51"/>
  <c r="J141" i="51"/>
  <c r="P140" i="51"/>
  <c r="O140" i="51"/>
  <c r="M140" i="51"/>
  <c r="J140" i="51"/>
  <c r="P139" i="51"/>
  <c r="O139" i="51"/>
  <c r="M139" i="51"/>
  <c r="J139" i="51"/>
  <c r="P138" i="51"/>
  <c r="O138" i="51"/>
  <c r="M138" i="51"/>
  <c r="J138" i="51"/>
  <c r="P137" i="51"/>
  <c r="O137" i="51"/>
  <c r="M137" i="51"/>
  <c r="J137" i="51"/>
  <c r="P136" i="51"/>
  <c r="O136" i="51"/>
  <c r="M136" i="51"/>
  <c r="J136" i="51"/>
  <c r="P135" i="51"/>
  <c r="O135" i="51"/>
  <c r="M135" i="51"/>
  <c r="J135" i="51"/>
  <c r="P134" i="51"/>
  <c r="O134" i="51"/>
  <c r="M134" i="51"/>
  <c r="J134" i="51"/>
  <c r="P133" i="51"/>
  <c r="O133" i="51"/>
  <c r="M133" i="51"/>
  <c r="J133" i="51"/>
  <c r="P132" i="51"/>
  <c r="O132" i="51"/>
  <c r="M132" i="51"/>
  <c r="J132" i="51"/>
  <c r="P131" i="51"/>
  <c r="O131" i="51"/>
  <c r="M131" i="51"/>
  <c r="J131" i="51"/>
  <c r="O130" i="51"/>
  <c r="M130" i="51"/>
  <c r="O129" i="51"/>
  <c r="M129" i="51"/>
  <c r="O128" i="51"/>
  <c r="M128" i="51"/>
  <c r="O127" i="51"/>
  <c r="M127" i="51"/>
  <c r="O126" i="51"/>
  <c r="M126" i="51"/>
  <c r="O125" i="51"/>
  <c r="M125" i="51"/>
  <c r="O124" i="51"/>
  <c r="M124" i="51"/>
  <c r="O123" i="51"/>
  <c r="M123" i="51"/>
  <c r="O122" i="51"/>
  <c r="M122" i="51"/>
  <c r="O121" i="51"/>
  <c r="M121" i="51"/>
  <c r="O120" i="51"/>
  <c r="M120" i="51"/>
  <c r="O119" i="51"/>
  <c r="M119" i="51"/>
  <c r="O118" i="51"/>
  <c r="M118" i="51"/>
  <c r="O117" i="51"/>
  <c r="M117" i="51"/>
  <c r="O116" i="51"/>
  <c r="M116" i="51"/>
  <c r="O115" i="51"/>
  <c r="M115" i="51"/>
  <c r="O114" i="51"/>
  <c r="M114" i="51"/>
  <c r="O113" i="51"/>
  <c r="M113" i="51"/>
  <c r="O112" i="51"/>
  <c r="M112" i="51"/>
  <c r="O111" i="51"/>
  <c r="M111" i="51"/>
  <c r="O110" i="51"/>
  <c r="M110" i="51"/>
  <c r="O109" i="51"/>
  <c r="M109" i="51"/>
  <c r="O108" i="51"/>
  <c r="M108" i="51"/>
  <c r="O107" i="51"/>
  <c r="M107" i="51"/>
  <c r="O106" i="51"/>
  <c r="M106" i="51"/>
  <c r="O105" i="51"/>
  <c r="M105" i="51"/>
  <c r="O104" i="51"/>
  <c r="M104" i="51"/>
  <c r="O103" i="51"/>
  <c r="M103" i="51"/>
  <c r="O102" i="51"/>
  <c r="M102" i="51"/>
  <c r="O101" i="51"/>
  <c r="M101" i="51"/>
  <c r="O100" i="51"/>
  <c r="M100" i="51"/>
  <c r="C99" i="51"/>
  <c r="C100" i="51" s="1"/>
  <c r="C101" i="51" s="1"/>
  <c r="C102" i="51" s="1"/>
  <c r="C103" i="51" s="1"/>
  <c r="C104" i="51" s="1"/>
  <c r="C105" i="51" s="1"/>
  <c r="C106" i="51" s="1"/>
  <c r="C107" i="51" s="1"/>
  <c r="C108" i="51" s="1"/>
  <c r="C109" i="51" s="1"/>
  <c r="C110" i="51" s="1"/>
  <c r="C111" i="51" s="1"/>
  <c r="C112" i="51" s="1"/>
  <c r="C113" i="51" s="1"/>
  <c r="C114" i="51" s="1"/>
  <c r="C115" i="51" s="1"/>
  <c r="C116" i="51" s="1"/>
  <c r="C117" i="51" s="1"/>
  <c r="C118" i="51" s="1"/>
  <c r="C119" i="51" s="1"/>
  <c r="C120" i="51" s="1"/>
  <c r="C121" i="51" s="1"/>
  <c r="C122" i="51" s="1"/>
  <c r="C123" i="51" s="1"/>
  <c r="C124" i="51" s="1"/>
  <c r="C125" i="51" s="1"/>
  <c r="C126" i="51" s="1"/>
  <c r="C127" i="51" s="1"/>
  <c r="C128" i="51" s="1"/>
  <c r="C129" i="51" s="1"/>
  <c r="C130" i="51" s="1"/>
  <c r="C131" i="51" s="1"/>
  <c r="C132" i="51" s="1"/>
  <c r="C133" i="51" s="1"/>
  <c r="C134" i="51" s="1"/>
  <c r="C135" i="51" s="1"/>
  <c r="C136" i="51" s="1"/>
  <c r="C137" i="51" s="1"/>
  <c r="C138" i="51" s="1"/>
  <c r="C139" i="51" s="1"/>
  <c r="C140" i="51" s="1"/>
  <c r="C141" i="51" s="1"/>
  <c r="C142" i="51" s="1"/>
  <c r="C143" i="51" s="1"/>
  <c r="C144" i="51" s="1"/>
  <c r="C145" i="51" s="1"/>
  <c r="C146" i="51" s="1"/>
  <c r="C147" i="51" s="1"/>
  <c r="C148" i="51" s="1"/>
  <c r="C149" i="51" s="1"/>
  <c r="C150" i="51" s="1"/>
  <c r="C151" i="51" s="1"/>
  <c r="C152" i="51" s="1"/>
  <c r="C153" i="51" s="1"/>
  <c r="C154" i="51" s="1"/>
  <c r="D96" i="51"/>
  <c r="L93" i="51"/>
  <c r="J93" i="51"/>
  <c r="D91" i="51"/>
  <c r="D89" i="51"/>
  <c r="N72" i="51"/>
  <c r="L72" i="51"/>
  <c r="N71" i="51"/>
  <c r="L71" i="51"/>
  <c r="N70" i="51"/>
  <c r="L70" i="51"/>
  <c r="N69" i="51"/>
  <c r="L69" i="51"/>
  <c r="N68" i="51"/>
  <c r="L68" i="51"/>
  <c r="N67" i="51"/>
  <c r="L67" i="51"/>
  <c r="N66" i="51"/>
  <c r="L66" i="51"/>
  <c r="N65" i="51"/>
  <c r="L65" i="51"/>
  <c r="N64" i="51"/>
  <c r="L64" i="51"/>
  <c r="N63" i="51"/>
  <c r="L63" i="51"/>
  <c r="N62" i="51"/>
  <c r="L62" i="51"/>
  <c r="N61" i="51"/>
  <c r="L61" i="51"/>
  <c r="N60" i="51"/>
  <c r="L60" i="51"/>
  <c r="N59" i="51"/>
  <c r="L59" i="51"/>
  <c r="N58" i="51"/>
  <c r="L58" i="51"/>
  <c r="N57" i="51"/>
  <c r="L57" i="51"/>
  <c r="N56" i="51"/>
  <c r="L56" i="51"/>
  <c r="N55" i="51"/>
  <c r="L55" i="51"/>
  <c r="N54" i="51"/>
  <c r="L54" i="51"/>
  <c r="N53" i="51"/>
  <c r="L53" i="51"/>
  <c r="N52" i="51"/>
  <c r="L52" i="51"/>
  <c r="N51" i="51"/>
  <c r="L51" i="51"/>
  <c r="N50" i="51"/>
  <c r="L50" i="51"/>
  <c r="N49" i="51"/>
  <c r="L49" i="51"/>
  <c r="N48" i="51"/>
  <c r="L48" i="51"/>
  <c r="N47" i="51"/>
  <c r="L47" i="51"/>
  <c r="N46" i="51"/>
  <c r="L46" i="51"/>
  <c r="N45" i="51"/>
  <c r="L45" i="51"/>
  <c r="N44" i="51"/>
  <c r="L44" i="51"/>
  <c r="N43" i="51"/>
  <c r="L43" i="51"/>
  <c r="N42" i="51"/>
  <c r="L42" i="51"/>
  <c r="N41" i="51"/>
  <c r="L41" i="51"/>
  <c r="N40" i="51"/>
  <c r="L40" i="51"/>
  <c r="N39" i="51"/>
  <c r="L39" i="51"/>
  <c r="N38" i="51"/>
  <c r="L38" i="51"/>
  <c r="N37" i="51"/>
  <c r="L37" i="51"/>
  <c r="N36" i="51"/>
  <c r="L36" i="51"/>
  <c r="N35" i="51"/>
  <c r="L35" i="51"/>
  <c r="N34" i="51"/>
  <c r="L34" i="51"/>
  <c r="N33" i="51"/>
  <c r="L33" i="51"/>
  <c r="N32" i="51"/>
  <c r="L32" i="51"/>
  <c r="N31" i="51"/>
  <c r="L31" i="51"/>
  <c r="N30" i="51"/>
  <c r="L30" i="51"/>
  <c r="N29" i="51"/>
  <c r="L29" i="51"/>
  <c r="N28" i="51"/>
  <c r="L28" i="51"/>
  <c r="N27" i="51"/>
  <c r="L27" i="51"/>
  <c r="N26" i="51"/>
  <c r="L26" i="51"/>
  <c r="N25" i="51"/>
  <c r="L25" i="51"/>
  <c r="N24" i="51"/>
  <c r="L24" i="51"/>
  <c r="N23" i="51"/>
  <c r="L23" i="51"/>
  <c r="N22" i="51"/>
  <c r="L22" i="51"/>
  <c r="N21" i="51"/>
  <c r="L21" i="51"/>
  <c r="N20" i="51"/>
  <c r="L20" i="51"/>
  <c r="N19" i="51"/>
  <c r="L19" i="51"/>
  <c r="C17" i="51"/>
  <c r="C18" i="51" s="1"/>
  <c r="C19" i="51" s="1"/>
  <c r="C20" i="51" s="1"/>
  <c r="C21" i="51" s="1"/>
  <c r="C22" i="51" s="1"/>
  <c r="C23" i="51" s="1"/>
  <c r="C24" i="51" s="1"/>
  <c r="C25" i="51" s="1"/>
  <c r="C26" i="51" s="1"/>
  <c r="C27" i="51" s="1"/>
  <c r="C28" i="51" s="1"/>
  <c r="C29" i="51" s="1"/>
  <c r="C30" i="51" s="1"/>
  <c r="C31" i="51" s="1"/>
  <c r="C32" i="51" s="1"/>
  <c r="C33" i="51" s="1"/>
  <c r="C34" i="51" s="1"/>
  <c r="C35" i="51" s="1"/>
  <c r="C36" i="51" s="1"/>
  <c r="C37" i="51" s="1"/>
  <c r="C38" i="51" s="1"/>
  <c r="C39" i="51" s="1"/>
  <c r="C40" i="51" s="1"/>
  <c r="C41" i="51" s="1"/>
  <c r="C42" i="51" s="1"/>
  <c r="C43" i="51" s="1"/>
  <c r="C44" i="51" s="1"/>
  <c r="K11" i="51"/>
  <c r="I11" i="51"/>
  <c r="D8" i="51"/>
  <c r="D90" i="51" s="1"/>
  <c r="P83" i="51"/>
  <c r="P154" i="50"/>
  <c r="O154" i="50"/>
  <c r="M154" i="50"/>
  <c r="J154" i="50"/>
  <c r="P153" i="50"/>
  <c r="O153" i="50"/>
  <c r="M153" i="50"/>
  <c r="J153" i="50"/>
  <c r="P152" i="50"/>
  <c r="O152" i="50"/>
  <c r="M152" i="50"/>
  <c r="J152" i="50"/>
  <c r="P151" i="50"/>
  <c r="O151" i="50"/>
  <c r="M151" i="50"/>
  <c r="J151" i="50"/>
  <c r="P150" i="50"/>
  <c r="O150" i="50"/>
  <c r="M150" i="50"/>
  <c r="J150" i="50"/>
  <c r="P149" i="50"/>
  <c r="O149" i="50"/>
  <c r="M149" i="50"/>
  <c r="J149" i="50"/>
  <c r="P148" i="50"/>
  <c r="O148" i="50"/>
  <c r="M148" i="50"/>
  <c r="J148" i="50"/>
  <c r="P147" i="50"/>
  <c r="O147" i="50"/>
  <c r="M147" i="50"/>
  <c r="J147" i="50"/>
  <c r="P146" i="50"/>
  <c r="O146" i="50"/>
  <c r="M146" i="50"/>
  <c r="J146" i="50"/>
  <c r="P145" i="50"/>
  <c r="O145" i="50"/>
  <c r="M145" i="50"/>
  <c r="J145" i="50"/>
  <c r="P144" i="50"/>
  <c r="O144" i="50"/>
  <c r="M144" i="50"/>
  <c r="J144" i="50"/>
  <c r="P143" i="50"/>
  <c r="O143" i="50"/>
  <c r="M143" i="50"/>
  <c r="J143" i="50"/>
  <c r="P142" i="50"/>
  <c r="O142" i="50"/>
  <c r="M142" i="50"/>
  <c r="J142" i="50"/>
  <c r="P141" i="50"/>
  <c r="O141" i="50"/>
  <c r="M141" i="50"/>
  <c r="J141" i="50"/>
  <c r="P140" i="50"/>
  <c r="O140" i="50"/>
  <c r="M140" i="50"/>
  <c r="J140" i="50"/>
  <c r="P139" i="50"/>
  <c r="O139" i="50"/>
  <c r="M139" i="50"/>
  <c r="J139" i="50"/>
  <c r="P138" i="50"/>
  <c r="O138" i="50"/>
  <c r="M138" i="50"/>
  <c r="J138" i="50"/>
  <c r="P137" i="50"/>
  <c r="O137" i="50"/>
  <c r="M137" i="50"/>
  <c r="J137" i="50"/>
  <c r="P136" i="50"/>
  <c r="O136" i="50"/>
  <c r="M136" i="50"/>
  <c r="J136" i="50"/>
  <c r="P135" i="50"/>
  <c r="O135" i="50"/>
  <c r="M135" i="50"/>
  <c r="J135" i="50"/>
  <c r="P134" i="50"/>
  <c r="O134" i="50"/>
  <c r="M134" i="50"/>
  <c r="J134" i="50"/>
  <c r="P133" i="50"/>
  <c r="O133" i="50"/>
  <c r="M133" i="50"/>
  <c r="J133" i="50"/>
  <c r="P132" i="50"/>
  <c r="O132" i="50"/>
  <c r="M132" i="50"/>
  <c r="J132" i="50"/>
  <c r="P131" i="50"/>
  <c r="O131" i="50"/>
  <c r="M131" i="50"/>
  <c r="J131" i="50"/>
  <c r="O130" i="50"/>
  <c r="M130" i="50"/>
  <c r="O129" i="50"/>
  <c r="M129" i="50"/>
  <c r="O128" i="50"/>
  <c r="M128" i="50"/>
  <c r="O127" i="50"/>
  <c r="M127" i="50"/>
  <c r="O126" i="50"/>
  <c r="M126" i="50"/>
  <c r="O125" i="50"/>
  <c r="M125" i="50"/>
  <c r="O124" i="50"/>
  <c r="M124" i="50"/>
  <c r="O123" i="50"/>
  <c r="M123" i="50"/>
  <c r="O122" i="50"/>
  <c r="M122" i="50"/>
  <c r="O121" i="50"/>
  <c r="M121" i="50"/>
  <c r="O120" i="50"/>
  <c r="M120" i="50"/>
  <c r="O119" i="50"/>
  <c r="M119" i="50"/>
  <c r="O118" i="50"/>
  <c r="M118" i="50"/>
  <c r="O117" i="50"/>
  <c r="M117" i="50"/>
  <c r="O116" i="50"/>
  <c r="M116" i="50"/>
  <c r="O115" i="50"/>
  <c r="M115" i="50"/>
  <c r="O114" i="50"/>
  <c r="M114" i="50"/>
  <c r="O113" i="50"/>
  <c r="M113" i="50"/>
  <c r="O112" i="50"/>
  <c r="M112" i="50"/>
  <c r="O111" i="50"/>
  <c r="M111" i="50"/>
  <c r="O110" i="50"/>
  <c r="M110" i="50"/>
  <c r="O109" i="50"/>
  <c r="M109" i="50"/>
  <c r="O108" i="50"/>
  <c r="M108" i="50"/>
  <c r="O107" i="50"/>
  <c r="M107" i="50"/>
  <c r="O106" i="50"/>
  <c r="M106" i="50"/>
  <c r="O105" i="50"/>
  <c r="M105" i="50"/>
  <c r="O104" i="50"/>
  <c r="M104" i="50"/>
  <c r="O103" i="50"/>
  <c r="M103" i="50"/>
  <c r="O102" i="50"/>
  <c r="M102" i="50"/>
  <c r="O101" i="50"/>
  <c r="M101" i="50"/>
  <c r="O100" i="50"/>
  <c r="M100" i="50"/>
  <c r="C99" i="50"/>
  <c r="C100" i="50" s="1"/>
  <c r="C101" i="50" s="1"/>
  <c r="C102" i="50" s="1"/>
  <c r="C103" i="50" s="1"/>
  <c r="C104" i="50" s="1"/>
  <c r="C105" i="50" s="1"/>
  <c r="C106" i="50" s="1"/>
  <c r="C107" i="50" s="1"/>
  <c r="C108" i="50" s="1"/>
  <c r="C109" i="50" s="1"/>
  <c r="C110" i="50" s="1"/>
  <c r="C111" i="50" s="1"/>
  <c r="C112" i="50" s="1"/>
  <c r="C113" i="50" s="1"/>
  <c r="C114" i="50" s="1"/>
  <c r="C115" i="50" s="1"/>
  <c r="C116" i="50" s="1"/>
  <c r="C117" i="50" s="1"/>
  <c r="C118" i="50" s="1"/>
  <c r="C119" i="50" s="1"/>
  <c r="C120" i="50" s="1"/>
  <c r="C121" i="50" s="1"/>
  <c r="C122" i="50" s="1"/>
  <c r="C123" i="50" s="1"/>
  <c r="C124" i="50" s="1"/>
  <c r="C125" i="50" s="1"/>
  <c r="C126" i="50" s="1"/>
  <c r="C127" i="50" s="1"/>
  <c r="C128" i="50" s="1"/>
  <c r="C129" i="50" s="1"/>
  <c r="C130" i="50" s="1"/>
  <c r="C131" i="50" s="1"/>
  <c r="C132" i="50" s="1"/>
  <c r="C133" i="50" s="1"/>
  <c r="C134" i="50" s="1"/>
  <c r="C135" i="50" s="1"/>
  <c r="C136" i="50" s="1"/>
  <c r="C137" i="50" s="1"/>
  <c r="C138" i="50" s="1"/>
  <c r="C139" i="50" s="1"/>
  <c r="C140" i="50" s="1"/>
  <c r="C141" i="50" s="1"/>
  <c r="C142" i="50" s="1"/>
  <c r="C143" i="50" s="1"/>
  <c r="C144" i="50" s="1"/>
  <c r="C145" i="50" s="1"/>
  <c r="C146" i="50" s="1"/>
  <c r="C147" i="50" s="1"/>
  <c r="C148" i="50" s="1"/>
  <c r="C149" i="50" s="1"/>
  <c r="C150" i="50" s="1"/>
  <c r="C151" i="50" s="1"/>
  <c r="C152" i="50" s="1"/>
  <c r="C153" i="50" s="1"/>
  <c r="C154" i="50" s="1"/>
  <c r="D96" i="50"/>
  <c r="L93" i="50"/>
  <c r="J93" i="50"/>
  <c r="D91" i="50"/>
  <c r="D89" i="50"/>
  <c r="N72" i="50"/>
  <c r="L72" i="50"/>
  <c r="N71" i="50"/>
  <c r="L71" i="50"/>
  <c r="N70" i="50"/>
  <c r="L70" i="50"/>
  <c r="N69" i="50"/>
  <c r="L69" i="50"/>
  <c r="N68" i="50"/>
  <c r="L68" i="50"/>
  <c r="N67" i="50"/>
  <c r="L67" i="50"/>
  <c r="N66" i="50"/>
  <c r="L66" i="50"/>
  <c r="N65" i="50"/>
  <c r="L65" i="50"/>
  <c r="N64" i="50"/>
  <c r="L64" i="50"/>
  <c r="N63" i="50"/>
  <c r="L63" i="50"/>
  <c r="N62" i="50"/>
  <c r="L62" i="50"/>
  <c r="N61" i="50"/>
  <c r="L61" i="50"/>
  <c r="N60" i="50"/>
  <c r="L60" i="50"/>
  <c r="N59" i="50"/>
  <c r="L59" i="50"/>
  <c r="N58" i="50"/>
  <c r="L58" i="50"/>
  <c r="N57" i="50"/>
  <c r="L57" i="50"/>
  <c r="N56" i="50"/>
  <c r="L56" i="50"/>
  <c r="N55" i="50"/>
  <c r="L55" i="50"/>
  <c r="N54" i="50"/>
  <c r="L54" i="50"/>
  <c r="N53" i="50"/>
  <c r="L53" i="50"/>
  <c r="N52" i="50"/>
  <c r="L52" i="50"/>
  <c r="N51" i="50"/>
  <c r="L51" i="50"/>
  <c r="N50" i="50"/>
  <c r="L50" i="50"/>
  <c r="N49" i="50"/>
  <c r="L49" i="50"/>
  <c r="N48" i="50"/>
  <c r="L48" i="50"/>
  <c r="N47" i="50"/>
  <c r="L47" i="50"/>
  <c r="N46" i="50"/>
  <c r="L46" i="50"/>
  <c r="N45" i="50"/>
  <c r="L45" i="50"/>
  <c r="N44" i="50"/>
  <c r="L44" i="50"/>
  <c r="N43" i="50"/>
  <c r="L43" i="50"/>
  <c r="N42" i="50"/>
  <c r="L42" i="50"/>
  <c r="N41" i="50"/>
  <c r="L41" i="50"/>
  <c r="N40" i="50"/>
  <c r="L40" i="50"/>
  <c r="N39" i="50"/>
  <c r="L39" i="50"/>
  <c r="N38" i="50"/>
  <c r="L38" i="50"/>
  <c r="N37" i="50"/>
  <c r="L37" i="50"/>
  <c r="N36" i="50"/>
  <c r="L36" i="50"/>
  <c r="N35" i="50"/>
  <c r="L35" i="50"/>
  <c r="N34" i="50"/>
  <c r="L34" i="50"/>
  <c r="N33" i="50"/>
  <c r="L33" i="50"/>
  <c r="N32" i="50"/>
  <c r="L32" i="50"/>
  <c r="N31" i="50"/>
  <c r="L31" i="50"/>
  <c r="N30" i="50"/>
  <c r="L30" i="50"/>
  <c r="N29" i="50"/>
  <c r="L29" i="50"/>
  <c r="N28" i="50"/>
  <c r="L28" i="50"/>
  <c r="N27" i="50"/>
  <c r="L27" i="50"/>
  <c r="N26" i="50"/>
  <c r="L26" i="50"/>
  <c r="N25" i="50"/>
  <c r="L25" i="50"/>
  <c r="N24" i="50"/>
  <c r="L24" i="50"/>
  <c r="N23" i="50"/>
  <c r="L23" i="50"/>
  <c r="N22" i="50"/>
  <c r="L22" i="50"/>
  <c r="N21" i="50"/>
  <c r="L21" i="50"/>
  <c r="N20" i="50"/>
  <c r="L20" i="50"/>
  <c r="N19" i="50"/>
  <c r="L19" i="50"/>
  <c r="C17" i="50"/>
  <c r="C18" i="50" s="1"/>
  <c r="C19" i="50" s="1"/>
  <c r="C20" i="50" s="1"/>
  <c r="C21" i="50" s="1"/>
  <c r="C22" i="50" s="1"/>
  <c r="C23" i="50" s="1"/>
  <c r="C24" i="50" s="1"/>
  <c r="C25" i="50" s="1"/>
  <c r="C26" i="50" s="1"/>
  <c r="C27" i="50" s="1"/>
  <c r="C28" i="50" s="1"/>
  <c r="C29" i="50" s="1"/>
  <c r="C30" i="50" s="1"/>
  <c r="C31" i="50" s="1"/>
  <c r="C32" i="50" s="1"/>
  <c r="C33" i="50" s="1"/>
  <c r="C34" i="50" s="1"/>
  <c r="C35" i="50" s="1"/>
  <c r="C36" i="50" s="1"/>
  <c r="C37" i="50" s="1"/>
  <c r="C38" i="50" s="1"/>
  <c r="C39" i="50" s="1"/>
  <c r="C40" i="50" s="1"/>
  <c r="C41" i="50" s="1"/>
  <c r="C42" i="50" s="1"/>
  <c r="C43" i="50" s="1"/>
  <c r="C44" i="50" s="1"/>
  <c r="K11" i="50"/>
  <c r="I11" i="50"/>
  <c r="D8" i="50"/>
  <c r="D90" i="50" s="1"/>
  <c r="P83" i="50"/>
  <c r="F41" i="57" l="1"/>
  <c r="B41" i="57"/>
  <c r="O25" i="52"/>
  <c r="O54" i="50"/>
  <c r="O50" i="50"/>
  <c r="O26" i="50"/>
  <c r="O51" i="50"/>
  <c r="O27" i="52"/>
  <c r="O40" i="52"/>
  <c r="O66" i="52"/>
  <c r="O70" i="52"/>
  <c r="O29" i="52"/>
  <c r="O37" i="52"/>
  <c r="O45" i="52"/>
  <c r="O65" i="50"/>
  <c r="O43" i="50"/>
  <c r="O56" i="52"/>
  <c r="O72" i="51"/>
  <c r="O31" i="52"/>
  <c r="O35" i="52"/>
  <c r="O51" i="52"/>
  <c r="O59" i="52"/>
  <c r="O63" i="52"/>
  <c r="P108" i="52"/>
  <c r="P112" i="52"/>
  <c r="P120" i="52"/>
  <c r="P124" i="52"/>
  <c r="P128" i="52"/>
  <c r="O72" i="50"/>
  <c r="P117" i="50"/>
  <c r="O37" i="51"/>
  <c r="O45" i="51"/>
  <c r="O53" i="51"/>
  <c r="O61" i="51"/>
  <c r="O72" i="52"/>
  <c r="O58" i="52"/>
  <c r="O28" i="51"/>
  <c r="O68" i="51"/>
  <c r="O38" i="51"/>
  <c r="O54" i="51"/>
  <c r="O70" i="51"/>
  <c r="O59" i="50"/>
  <c r="O20" i="51"/>
  <c r="O34" i="50"/>
  <c r="O63" i="51"/>
  <c r="P101" i="52"/>
  <c r="O61" i="52"/>
  <c r="O42" i="52"/>
  <c r="O22" i="52"/>
  <c r="O53" i="52"/>
  <c r="O57" i="52"/>
  <c r="O19" i="52"/>
  <c r="O54" i="52"/>
  <c r="O65" i="52"/>
  <c r="O24" i="52"/>
  <c r="O44" i="52"/>
  <c r="O48" i="52"/>
  <c r="O21" i="52"/>
  <c r="O41" i="52"/>
  <c r="O49" i="52"/>
  <c r="O28" i="52"/>
  <c r="O43" i="52"/>
  <c r="O50" i="52"/>
  <c r="O60" i="52"/>
  <c r="O33" i="52"/>
  <c r="O68" i="52"/>
  <c r="P99" i="52"/>
  <c r="O26" i="52"/>
  <c r="O55" i="52"/>
  <c r="O69" i="52"/>
  <c r="P103" i="52"/>
  <c r="P107" i="52"/>
  <c r="O23" i="52"/>
  <c r="O30" i="52"/>
  <c r="O34" i="52"/>
  <c r="O52" i="52"/>
  <c r="O62" i="52"/>
  <c r="P111" i="52"/>
  <c r="P115" i="52"/>
  <c r="P119" i="52"/>
  <c r="P123" i="52"/>
  <c r="P127" i="52"/>
  <c r="O20" i="52"/>
  <c r="P104" i="52"/>
  <c r="O39" i="52"/>
  <c r="O67" i="52"/>
  <c r="P105" i="52"/>
  <c r="O18" i="52"/>
  <c r="O32" i="52"/>
  <c r="O36" i="52"/>
  <c r="O47" i="52"/>
  <c r="O64" i="52"/>
  <c r="P109" i="52"/>
  <c r="P113" i="52"/>
  <c r="P117" i="52"/>
  <c r="P121" i="52"/>
  <c r="P125" i="52"/>
  <c r="P129" i="52"/>
  <c r="P128" i="51"/>
  <c r="P101" i="51"/>
  <c r="P105" i="51"/>
  <c r="P109" i="51"/>
  <c r="P113" i="51"/>
  <c r="P117" i="51"/>
  <c r="P121" i="51"/>
  <c r="P129" i="51"/>
  <c r="O26" i="51"/>
  <c r="O34" i="51"/>
  <c r="O31" i="51"/>
  <c r="O35" i="51"/>
  <c r="O71" i="51"/>
  <c r="O23" i="51"/>
  <c r="O33" i="51"/>
  <c r="P106" i="51"/>
  <c r="P114" i="51"/>
  <c r="P122" i="51"/>
  <c r="O51" i="51"/>
  <c r="O59" i="51"/>
  <c r="O21" i="51"/>
  <c r="O36" i="51"/>
  <c r="O40" i="51"/>
  <c r="O44" i="51"/>
  <c r="O52" i="51"/>
  <c r="O60" i="51"/>
  <c r="O64" i="51"/>
  <c r="O47" i="51"/>
  <c r="O29" i="51"/>
  <c r="O41" i="51"/>
  <c r="O49" i="51"/>
  <c r="O57" i="51"/>
  <c r="P127" i="51"/>
  <c r="O43" i="51"/>
  <c r="O19" i="51"/>
  <c r="O27" i="51"/>
  <c r="O30" i="51"/>
  <c r="O50" i="51"/>
  <c r="O58" i="51"/>
  <c r="O69" i="51"/>
  <c r="O55" i="51"/>
  <c r="O25" i="51"/>
  <c r="O42" i="51"/>
  <c r="O48" i="51"/>
  <c r="O65" i="51"/>
  <c r="O32" i="51"/>
  <c r="O62" i="51"/>
  <c r="P103" i="51"/>
  <c r="P107" i="51"/>
  <c r="P111" i="51"/>
  <c r="P115" i="51"/>
  <c r="P119" i="51"/>
  <c r="P123" i="51"/>
  <c r="O22" i="51"/>
  <c r="O39" i="51"/>
  <c r="O56" i="51"/>
  <c r="O46" i="51"/>
  <c r="O67" i="51"/>
  <c r="P100" i="51"/>
  <c r="P108" i="51"/>
  <c r="P116" i="51"/>
  <c r="P124" i="51"/>
  <c r="P125" i="51"/>
  <c r="O24" i="51"/>
  <c r="O46" i="52"/>
  <c r="P100" i="52"/>
  <c r="P110" i="52"/>
  <c r="O38" i="52"/>
  <c r="P116" i="52"/>
  <c r="P126" i="52"/>
  <c r="P106" i="52"/>
  <c r="P122" i="52"/>
  <c r="O71" i="52"/>
  <c r="P102" i="52"/>
  <c r="P118" i="52"/>
  <c r="P114" i="52"/>
  <c r="P130" i="52"/>
  <c r="C45" i="51"/>
  <c r="C46" i="51" s="1"/>
  <c r="C47" i="51" s="1"/>
  <c r="C48" i="51" s="1"/>
  <c r="C49" i="51" s="1"/>
  <c r="C50" i="51" s="1"/>
  <c r="C51" i="51" s="1"/>
  <c r="C52" i="51" s="1"/>
  <c r="C53" i="51" s="1"/>
  <c r="C54" i="51" s="1"/>
  <c r="C55" i="51" s="1"/>
  <c r="C56" i="51" s="1"/>
  <c r="C57" i="51" s="1"/>
  <c r="C58" i="51" s="1"/>
  <c r="C59" i="51" s="1"/>
  <c r="C60" i="51" s="1"/>
  <c r="C61" i="51" s="1"/>
  <c r="C62" i="51" s="1"/>
  <c r="C63" i="51" s="1"/>
  <c r="C64" i="51" s="1"/>
  <c r="C65" i="51" s="1"/>
  <c r="C66" i="51" s="1"/>
  <c r="C67" i="51" s="1"/>
  <c r="C68" i="51" s="1"/>
  <c r="C69" i="51" s="1"/>
  <c r="C70" i="51" s="1"/>
  <c r="C71" i="51" s="1"/>
  <c r="C72" i="51" s="1"/>
  <c r="P102" i="51"/>
  <c r="P110" i="51"/>
  <c r="P118" i="51"/>
  <c r="P126" i="51"/>
  <c r="O66" i="51"/>
  <c r="P104" i="51"/>
  <c r="P112" i="51"/>
  <c r="P120" i="51"/>
  <c r="P130" i="51"/>
  <c r="P105" i="50"/>
  <c r="P109" i="50"/>
  <c r="P125" i="50"/>
  <c r="P101" i="50"/>
  <c r="P113" i="50"/>
  <c r="P121" i="50"/>
  <c r="O27" i="50"/>
  <c r="P103" i="50"/>
  <c r="P107" i="50"/>
  <c r="P111" i="50"/>
  <c r="P115" i="50"/>
  <c r="P119" i="50"/>
  <c r="P123" i="50"/>
  <c r="P127" i="50"/>
  <c r="O35" i="50"/>
  <c r="O28" i="50"/>
  <c r="O48" i="50"/>
  <c r="O63" i="50"/>
  <c r="O31" i="50"/>
  <c r="P129" i="50"/>
  <c r="O19" i="50"/>
  <c r="O62" i="50"/>
  <c r="O36" i="50"/>
  <c r="O55" i="50"/>
  <c r="O66" i="50"/>
  <c r="O45" i="50"/>
  <c r="O64" i="50"/>
  <c r="O23" i="50"/>
  <c r="O37" i="50"/>
  <c r="O49" i="50"/>
  <c r="O42" i="50"/>
  <c r="O67" i="50"/>
  <c r="O30" i="50"/>
  <c r="O41" i="50"/>
  <c r="O58" i="50"/>
  <c r="P102" i="50"/>
  <c r="O47" i="50"/>
  <c r="O18" i="50"/>
  <c r="O21" i="50"/>
  <c r="O38" i="50"/>
  <c r="O46" i="50"/>
  <c r="O53" i="50"/>
  <c r="O60" i="50"/>
  <c r="O70" i="50"/>
  <c r="O29" i="50"/>
  <c r="O44" i="50"/>
  <c r="O61" i="50"/>
  <c r="P100" i="50"/>
  <c r="O20" i="50"/>
  <c r="O68" i="50"/>
  <c r="O22" i="50"/>
  <c r="O39" i="50"/>
  <c r="O52" i="50"/>
  <c r="O69" i="50"/>
  <c r="C45" i="50"/>
  <c r="C46" i="50" s="1"/>
  <c r="C47" i="50" s="1"/>
  <c r="C48" i="50" s="1"/>
  <c r="C49" i="50" s="1"/>
  <c r="C50" i="50" s="1"/>
  <c r="C51" i="50" s="1"/>
  <c r="C52" i="50" s="1"/>
  <c r="C53" i="50" s="1"/>
  <c r="C54" i="50" s="1"/>
  <c r="C55" i="50" s="1"/>
  <c r="C56" i="50" s="1"/>
  <c r="C57" i="50" s="1"/>
  <c r="C58" i="50" s="1"/>
  <c r="C59" i="50" s="1"/>
  <c r="C60" i="50" s="1"/>
  <c r="C61" i="50" s="1"/>
  <c r="C62" i="50" s="1"/>
  <c r="C63" i="50" s="1"/>
  <c r="C64" i="50" s="1"/>
  <c r="C65" i="50" s="1"/>
  <c r="C66" i="50" s="1"/>
  <c r="C67" i="50" s="1"/>
  <c r="C68" i="50" s="1"/>
  <c r="C69" i="50" s="1"/>
  <c r="C70" i="50" s="1"/>
  <c r="C71" i="50" s="1"/>
  <c r="C72" i="50" s="1"/>
  <c r="O33" i="50"/>
  <c r="O32" i="50"/>
  <c r="O57" i="50"/>
  <c r="O25" i="50"/>
  <c r="O56" i="50"/>
  <c r="O24" i="50"/>
  <c r="O40" i="50"/>
  <c r="O71" i="50"/>
  <c r="P104" i="50"/>
  <c r="P106" i="50"/>
  <c r="P108" i="50"/>
  <c r="P110" i="50"/>
  <c r="P112" i="50"/>
  <c r="P114" i="50"/>
  <c r="P116" i="50"/>
  <c r="P118" i="50"/>
  <c r="P120" i="50"/>
  <c r="P122" i="50"/>
  <c r="P124" i="50"/>
  <c r="P126" i="50"/>
  <c r="P128" i="50"/>
  <c r="P130" i="50"/>
  <c r="D10" i="23"/>
  <c r="D42" i="57" l="1"/>
  <c r="E42" i="57" s="1"/>
  <c r="B18" i="52"/>
  <c r="B18" i="51"/>
  <c r="F42" i="57" l="1"/>
  <c r="B42" i="57"/>
  <c r="D19" i="51"/>
  <c r="D43" i="57" l="1"/>
  <c r="E43" i="57" s="1"/>
  <c r="B19" i="51"/>
  <c r="F43" i="57" l="1"/>
  <c r="B43" i="57"/>
  <c r="D44" i="57" l="1"/>
  <c r="E44" i="57" s="1"/>
  <c r="F44" i="57" l="1"/>
  <c r="B44" i="57"/>
  <c r="D45" i="57" l="1"/>
  <c r="E45" i="57" s="1"/>
  <c r="B45" i="57" l="1"/>
  <c r="F45" i="57"/>
  <c r="D46" i="57" l="1"/>
  <c r="E46" i="57" s="1"/>
  <c r="F46" i="57" l="1"/>
  <c r="B46" i="57"/>
  <c r="D47" i="57" l="1"/>
  <c r="E47" i="57" s="1"/>
  <c r="B47" i="57" l="1"/>
  <c r="F47" i="57"/>
  <c r="D48" i="57" l="1"/>
  <c r="E48" i="57" s="1"/>
  <c r="B48" i="57" l="1"/>
  <c r="F48" i="57"/>
  <c r="D49" i="57" l="1"/>
  <c r="E49" i="57" s="1"/>
  <c r="F49" i="57" l="1"/>
  <c r="B49" i="57"/>
  <c r="D50" i="57" l="1"/>
  <c r="E50" i="57" s="1"/>
  <c r="F50" i="57" l="1"/>
  <c r="B50" i="57"/>
  <c r="D51" i="57" l="1"/>
  <c r="E51" i="57" s="1"/>
  <c r="F51" i="57" l="1"/>
  <c r="B51" i="57"/>
  <c r="D52" i="57" l="1"/>
  <c r="E52" i="57" s="1"/>
  <c r="F52" i="57" l="1"/>
  <c r="B52" i="57"/>
  <c r="D53" i="57" l="1"/>
  <c r="E53" i="57" s="1"/>
  <c r="B53" i="57" l="1"/>
  <c r="F53" i="57"/>
  <c r="D54" i="57" l="1"/>
  <c r="E54" i="57" s="1"/>
  <c r="B54" i="57" l="1"/>
  <c r="F54" i="57"/>
  <c r="D55" i="57" l="1"/>
  <c r="B55" i="57" l="1"/>
  <c r="E55" i="57"/>
  <c r="F55" i="57" s="1"/>
  <c r="D56" i="57" l="1"/>
  <c r="B56" i="57" l="1"/>
  <c r="E56" i="57"/>
  <c r="F56" i="57" s="1"/>
  <c r="D57" i="57" l="1"/>
  <c r="B57" i="57" l="1"/>
  <c r="E57" i="57"/>
  <c r="F57" i="57" s="1"/>
  <c r="D58" i="57" l="1"/>
  <c r="B58" i="57" l="1"/>
  <c r="E58" i="57"/>
  <c r="F58" i="57" s="1"/>
  <c r="D59" i="57" l="1"/>
  <c r="E59" i="57" s="1"/>
  <c r="B59" i="57" l="1"/>
  <c r="F59" i="57"/>
  <c r="D60" i="57" l="1"/>
  <c r="E60" i="57" s="1"/>
  <c r="F60" i="57" l="1"/>
  <c r="B60" i="57"/>
  <c r="D61" i="57" l="1"/>
  <c r="E61" i="57" s="1"/>
  <c r="B61" i="57" l="1"/>
  <c r="F61" i="57"/>
  <c r="D62" i="57" l="1"/>
  <c r="B62" i="57" l="1"/>
  <c r="E62" i="57"/>
  <c r="F62" i="57" s="1"/>
  <c r="D63" i="57" l="1"/>
  <c r="E63" i="57" s="1"/>
  <c r="F63" i="57" l="1"/>
  <c r="B63" i="57"/>
  <c r="D64" i="57" l="1"/>
  <c r="E64" i="57" s="1"/>
  <c r="B64" i="57" l="1"/>
  <c r="F64" i="57"/>
  <c r="D65" i="57" l="1"/>
  <c r="E65" i="57" s="1"/>
  <c r="F65" i="57" l="1"/>
  <c r="B65" i="57"/>
  <c r="D66" i="57" l="1"/>
  <c r="E66" i="57" s="1"/>
  <c r="B66" i="57" l="1"/>
  <c r="F66" i="57"/>
  <c r="D67" i="57" l="1"/>
  <c r="B67" i="57" l="1"/>
  <c r="E67" i="57"/>
  <c r="F67" i="57" s="1"/>
  <c r="D68" i="57" l="1"/>
  <c r="B68" i="57" l="1"/>
  <c r="E68" i="57"/>
  <c r="F68" i="57" s="1"/>
  <c r="D69" i="57" l="1"/>
  <c r="E69" i="57" s="1"/>
  <c r="B69" i="57" l="1"/>
  <c r="F69" i="57"/>
  <c r="D70" i="57" l="1"/>
  <c r="B70" i="57" l="1"/>
  <c r="E70" i="57"/>
  <c r="F70" i="57" s="1"/>
  <c r="D71" i="57" l="1"/>
  <c r="E71" i="57" s="1"/>
  <c r="B71" i="57" l="1"/>
  <c r="F71" i="57"/>
  <c r="D72" i="57" l="1"/>
  <c r="E72" i="57" s="1"/>
  <c r="E73" i="57" s="1"/>
  <c r="M19" i="49"/>
  <c r="N19" i="49" s="1"/>
  <c r="K19" i="49"/>
  <c r="L19" i="49" s="1"/>
  <c r="N101" i="48"/>
  <c r="O101" i="48" s="1"/>
  <c r="L101" i="48"/>
  <c r="M101" i="48" s="1"/>
  <c r="M20" i="48"/>
  <c r="N20" i="48" s="1"/>
  <c r="K20" i="48"/>
  <c r="L20" i="48" s="1"/>
  <c r="N100" i="47"/>
  <c r="O100" i="47" s="1"/>
  <c r="L100" i="47"/>
  <c r="M100" i="47" s="1"/>
  <c r="M19" i="47"/>
  <c r="N19" i="47" s="1"/>
  <c r="K19" i="47"/>
  <c r="L19" i="47" s="1"/>
  <c r="M18" i="47"/>
  <c r="N18" i="47" s="1"/>
  <c r="K18" i="47"/>
  <c r="L18" i="47" s="1"/>
  <c r="N102" i="46"/>
  <c r="O102" i="46" s="1"/>
  <c r="L102" i="46"/>
  <c r="M102" i="46" s="1"/>
  <c r="M21" i="46"/>
  <c r="N21" i="46" s="1"/>
  <c r="K21" i="46"/>
  <c r="L21" i="46" s="1"/>
  <c r="N103" i="45"/>
  <c r="O103" i="45" s="1"/>
  <c r="L103" i="45"/>
  <c r="M103" i="45" s="1"/>
  <c r="M22" i="45"/>
  <c r="N22" i="45" s="1"/>
  <c r="K22" i="45"/>
  <c r="L22" i="45" s="1"/>
  <c r="N103" i="44"/>
  <c r="O103" i="44" s="1"/>
  <c r="L103" i="44"/>
  <c r="M103" i="44" s="1"/>
  <c r="M22" i="44"/>
  <c r="N22" i="44" s="1"/>
  <c r="K22" i="44"/>
  <c r="L22" i="44" s="1"/>
  <c r="N104" i="43"/>
  <c r="O104" i="43" s="1"/>
  <c r="L104" i="43"/>
  <c r="M104" i="43" s="1"/>
  <c r="N103" i="43"/>
  <c r="O103" i="43" s="1"/>
  <c r="L103" i="43"/>
  <c r="M103" i="43" s="1"/>
  <c r="M23" i="43"/>
  <c r="N23" i="43" s="1"/>
  <c r="K23" i="43"/>
  <c r="L23" i="43" s="1"/>
  <c r="F72" i="57" l="1"/>
  <c r="B72" i="57"/>
  <c r="O19" i="49"/>
  <c r="O22" i="45"/>
  <c r="O21" i="46"/>
  <c r="O22" i="44"/>
  <c r="P100" i="47"/>
  <c r="P101" i="48"/>
  <c r="O20" i="48"/>
  <c r="O18" i="47"/>
  <c r="O19" i="47"/>
  <c r="P103" i="44"/>
  <c r="P103" i="43"/>
  <c r="P104" i="43"/>
  <c r="O23" i="43"/>
  <c r="N104" i="42"/>
  <c r="O104" i="42" s="1"/>
  <c r="L104" i="42"/>
  <c r="M104" i="42" s="1"/>
  <c r="N103" i="42"/>
  <c r="O103" i="42" s="1"/>
  <c r="L103" i="42"/>
  <c r="M103" i="42" s="1"/>
  <c r="M23" i="42"/>
  <c r="N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40"/>
  <c r="O104" i="40" s="1"/>
  <c r="L104" i="40"/>
  <c r="M104" i="40" s="1"/>
  <c r="M23" i="40"/>
  <c r="N23" i="40" s="1"/>
  <c r="K23" i="40"/>
  <c r="L23" i="40" s="1"/>
  <c r="N105" i="39"/>
  <c r="O105" i="39" s="1"/>
  <c r="L105" i="39"/>
  <c r="M105" i="39" s="1"/>
  <c r="M24" i="39"/>
  <c r="N24" i="39" s="1"/>
  <c r="K24" i="39"/>
  <c r="L24" i="39" s="1"/>
  <c r="N104" i="38"/>
  <c r="O104" i="38" s="1"/>
  <c r="L104" i="38"/>
  <c r="M104" i="38" s="1"/>
  <c r="M24" i="38"/>
  <c r="N24" i="38" s="1"/>
  <c r="K24" i="38"/>
  <c r="L24" i="38" s="1"/>
  <c r="N105" i="37"/>
  <c r="O105" i="37" s="1"/>
  <c r="L105" i="37"/>
  <c r="M105" i="37" s="1"/>
  <c r="M24" i="37"/>
  <c r="N24" i="37" s="1"/>
  <c r="K24" i="37"/>
  <c r="L24" i="37" s="1"/>
  <c r="N108" i="31"/>
  <c r="O108" i="31" s="1"/>
  <c r="L108" i="31"/>
  <c r="M108" i="31" s="1"/>
  <c r="M27" i="31"/>
  <c r="N27" i="31" s="1"/>
  <c r="K27" i="31"/>
  <c r="L27" i="31" s="1"/>
  <c r="N107" i="30"/>
  <c r="O107" i="30" s="1"/>
  <c r="L107" i="30"/>
  <c r="M107" i="30" s="1"/>
  <c r="M26" i="30"/>
  <c r="N26" i="30" s="1"/>
  <c r="K26" i="30"/>
  <c r="L26" i="30" s="1"/>
  <c r="N108" i="29"/>
  <c r="O108" i="29" s="1"/>
  <c r="L108" i="29"/>
  <c r="M108" i="29" s="1"/>
  <c r="M27" i="29"/>
  <c r="N27" i="29" s="1"/>
  <c r="K27" i="29"/>
  <c r="L27" i="29" s="1"/>
  <c r="N108" i="28"/>
  <c r="O108" i="28" s="1"/>
  <c r="L108" i="28"/>
  <c r="M108" i="28" s="1"/>
  <c r="M27" i="28"/>
  <c r="N27" i="28" s="1"/>
  <c r="K27" i="28"/>
  <c r="L27" i="28" s="1"/>
  <c r="N109" i="27"/>
  <c r="O109" i="27" s="1"/>
  <c r="L109" i="27"/>
  <c r="M109" i="27" s="1"/>
  <c r="M28" i="27"/>
  <c r="N28" i="27" s="1"/>
  <c r="K28" i="27"/>
  <c r="L28" i="27" s="1"/>
  <c r="N112" i="25"/>
  <c r="O112" i="25" s="1"/>
  <c r="L112" i="25"/>
  <c r="M112" i="25" s="1"/>
  <c r="M31" i="25"/>
  <c r="N31" i="25" s="1"/>
  <c r="K31" i="25"/>
  <c r="L31" i="25" s="1"/>
  <c r="N110" i="24"/>
  <c r="O110" i="24" s="1"/>
  <c r="L110" i="24"/>
  <c r="M110" i="24" s="1"/>
  <c r="M29" i="24"/>
  <c r="N29" i="24" s="1"/>
  <c r="K29" i="24"/>
  <c r="L29" i="24" s="1"/>
  <c r="N111" i="23"/>
  <c r="O111" i="23" s="1"/>
  <c r="L111" i="23"/>
  <c r="M111" i="23" s="1"/>
  <c r="M30" i="23"/>
  <c r="N30" i="23" s="1"/>
  <c r="K30" i="23"/>
  <c r="L30" i="23" s="1"/>
  <c r="N112" i="22"/>
  <c r="O112" i="22" s="1"/>
  <c r="L112" i="22"/>
  <c r="M112" i="22" s="1"/>
  <c r="M31" i="22"/>
  <c r="N31" i="22" s="1"/>
  <c r="K31" i="22"/>
  <c r="L31" i="22" s="1"/>
  <c r="N115" i="11"/>
  <c r="O115" i="11" s="1"/>
  <c r="L115" i="11"/>
  <c r="M115" i="11" s="1"/>
  <c r="M34" i="11"/>
  <c r="N34" i="11" s="1"/>
  <c r="K34" i="11"/>
  <c r="L34" i="11" s="1"/>
  <c r="N116" i="10"/>
  <c r="O116" i="10" s="1"/>
  <c r="L116" i="10"/>
  <c r="M116" i="10" s="1"/>
  <c r="M35" i="10"/>
  <c r="N35" i="10" s="1"/>
  <c r="K35" i="10"/>
  <c r="L35" i="10" s="1"/>
  <c r="N115" i="9"/>
  <c r="O115" i="9" s="1"/>
  <c r="L115" i="9"/>
  <c r="M115" i="9" s="1"/>
  <c r="M34" i="9"/>
  <c r="N34" i="9" s="1"/>
  <c r="K34" i="9"/>
  <c r="L34" i="9" s="1"/>
  <c r="N114" i="8"/>
  <c r="O114" i="8" s="1"/>
  <c r="L114" i="8"/>
  <c r="M114" i="8" s="1"/>
  <c r="M33" i="8"/>
  <c r="N33" i="8" s="1"/>
  <c r="K33" i="8"/>
  <c r="L33" i="8" s="1"/>
  <c r="N116" i="7"/>
  <c r="O116" i="7" s="1"/>
  <c r="L116" i="7"/>
  <c r="M116" i="7" s="1"/>
  <c r="M35" i="7"/>
  <c r="N35" i="7" s="1"/>
  <c r="K35" i="7"/>
  <c r="L35" i="7" s="1"/>
  <c r="M33" i="6"/>
  <c r="N33" i="6" s="1"/>
  <c r="K33" i="6"/>
  <c r="L33" i="6" s="1"/>
  <c r="N114" i="6"/>
  <c r="O114" i="6" s="1"/>
  <c r="L114" i="6"/>
  <c r="M114" i="6" s="1"/>
  <c r="N113" i="5"/>
  <c r="O113" i="5" s="1"/>
  <c r="L113" i="5"/>
  <c r="M113" i="5" s="1"/>
  <c r="N112" i="5"/>
  <c r="O112" i="5" s="1"/>
  <c r="L112" i="5"/>
  <c r="M112" i="5" s="1"/>
  <c r="M32" i="5"/>
  <c r="N32" i="5" s="1"/>
  <c r="K32" i="5"/>
  <c r="L32" i="5" s="1"/>
  <c r="N113" i="4"/>
  <c r="O113" i="4" s="1"/>
  <c r="L113" i="4"/>
  <c r="M113" i="4" s="1"/>
  <c r="M32" i="4"/>
  <c r="N32" i="4" s="1"/>
  <c r="K32" i="4"/>
  <c r="L32" i="4" s="1"/>
  <c r="N113" i="3"/>
  <c r="O113" i="3" s="1"/>
  <c r="L113" i="3"/>
  <c r="M113" i="3" s="1"/>
  <c r="M32" i="3"/>
  <c r="N32" i="3" s="1"/>
  <c r="K32" i="3"/>
  <c r="L32" i="3" s="1"/>
  <c r="D94" i="46"/>
  <c r="D93" i="46"/>
  <c r="D94" i="45"/>
  <c r="D93" i="45"/>
  <c r="D94" i="44"/>
  <c r="D93" i="44"/>
  <c r="D94" i="43"/>
  <c r="D93" i="43"/>
  <c r="D94" i="42"/>
  <c r="D93" i="42"/>
  <c r="D94" i="41"/>
  <c r="D93" i="41"/>
  <c r="D94" i="40"/>
  <c r="D93" i="40"/>
  <c r="D94" i="38"/>
  <c r="D93" i="38"/>
  <c r="D93" i="29"/>
  <c r="D94" i="28"/>
  <c r="D93" i="28"/>
  <c r="D93" i="27"/>
  <c r="O32" i="4" l="1"/>
  <c r="P115" i="9"/>
  <c r="P112" i="25"/>
  <c r="P111" i="23"/>
  <c r="P115" i="11"/>
  <c r="O26" i="30"/>
  <c r="O31" i="22"/>
  <c r="P112" i="5"/>
  <c r="P107" i="30"/>
  <c r="O30" i="23"/>
  <c r="O31" i="25"/>
  <c r="P116" i="10"/>
  <c r="P109" i="27"/>
  <c r="P104" i="40"/>
  <c r="O33" i="8"/>
  <c r="P108" i="31"/>
  <c r="P113" i="4"/>
  <c r="O28" i="27"/>
  <c r="O32" i="3"/>
  <c r="P114" i="6"/>
  <c r="O27" i="29"/>
  <c r="O24" i="37"/>
  <c r="P104" i="38"/>
  <c r="P104" i="41"/>
  <c r="P113" i="5"/>
  <c r="P105" i="39"/>
  <c r="O23" i="40"/>
  <c r="P116" i="7"/>
  <c r="O29" i="24"/>
  <c r="P113" i="3"/>
  <c r="O27" i="28"/>
  <c r="P108" i="29"/>
  <c r="P105" i="37"/>
  <c r="O24" i="39"/>
  <c r="P103" i="42"/>
  <c r="P104" i="42"/>
  <c r="O23" i="42"/>
  <c r="O23" i="41"/>
  <c r="O24" i="38"/>
  <c r="O27" i="31"/>
  <c r="P108" i="28"/>
  <c r="P110" i="24"/>
  <c r="P112" i="22"/>
  <c r="O34" i="11"/>
  <c r="O35" i="10"/>
  <c r="O34" i="9"/>
  <c r="P114" i="8"/>
  <c r="O35" i="7"/>
  <c r="O33" i="6"/>
  <c r="O32" i="5"/>
  <c r="U55" i="17" l="1"/>
  <c r="M19" i="48" l="1"/>
  <c r="K19" i="48"/>
  <c r="L19" i="48" s="1"/>
  <c r="M18" i="49" l="1"/>
  <c r="K18" i="49"/>
  <c r="L18" i="49" s="1"/>
  <c r="M18" i="48"/>
  <c r="K18" i="48"/>
  <c r="L18" i="48" s="1"/>
  <c r="M20" i="46"/>
  <c r="K20" i="46"/>
  <c r="L20" i="46" s="1"/>
  <c r="M21" i="45"/>
  <c r="K21" i="45"/>
  <c r="L21" i="45" s="1"/>
  <c r="M21" i="44"/>
  <c r="K21" i="44"/>
  <c r="L21" i="44" s="1"/>
  <c r="M22" i="41"/>
  <c r="K22" i="41"/>
  <c r="L22" i="41" s="1"/>
  <c r="M22" i="40"/>
  <c r="K22" i="40"/>
  <c r="L22" i="40" s="1"/>
  <c r="M23" i="39"/>
  <c r="K23" i="39"/>
  <c r="L23" i="39" s="1"/>
  <c r="M23" i="38"/>
  <c r="K23" i="38"/>
  <c r="L23" i="38" s="1"/>
  <c r="M23" i="37"/>
  <c r="K23" i="37"/>
  <c r="L23" i="37" s="1"/>
  <c r="M26" i="31"/>
  <c r="K26" i="31"/>
  <c r="L26" i="31" s="1"/>
  <c r="M25" i="30"/>
  <c r="K25" i="30"/>
  <c r="L25" i="30" s="1"/>
  <c r="M26" i="29"/>
  <c r="K26" i="29"/>
  <c r="L26" i="29" s="1"/>
  <c r="M26" i="28"/>
  <c r="K26" i="28"/>
  <c r="L26" i="28" s="1"/>
  <c r="M27" i="27"/>
  <c r="K27" i="27"/>
  <c r="L27" i="27" s="1"/>
  <c r="M30" i="25"/>
  <c r="K30" i="25"/>
  <c r="L30" i="25" s="1"/>
  <c r="M28" i="24"/>
  <c r="K28" i="24"/>
  <c r="L28" i="24" s="1"/>
  <c r="M29" i="23"/>
  <c r="K29" i="23"/>
  <c r="L29" i="23" s="1"/>
  <c r="M30" i="22"/>
  <c r="K30" i="22"/>
  <c r="L30" i="22" s="1"/>
  <c r="M33" i="11"/>
  <c r="K33" i="11"/>
  <c r="L33" i="11" s="1"/>
  <c r="M34" i="10"/>
  <c r="K34" i="10"/>
  <c r="L34" i="10" s="1"/>
  <c r="M33" i="9"/>
  <c r="K33" i="9"/>
  <c r="L33" i="9" s="1"/>
  <c r="M32" i="8"/>
  <c r="K32" i="8"/>
  <c r="L32" i="8" s="1"/>
  <c r="M34" i="7"/>
  <c r="K34" i="7"/>
  <c r="L34" i="7" s="1"/>
  <c r="M32" i="6"/>
  <c r="K32" i="6"/>
  <c r="L32" i="6" s="1"/>
  <c r="M31" i="5"/>
  <c r="K31" i="5"/>
  <c r="L31" i="5" s="1"/>
  <c r="M31" i="4"/>
  <c r="K31" i="4"/>
  <c r="L31" i="4" s="1"/>
  <c r="M31" i="3"/>
  <c r="K31" i="3"/>
  <c r="L31" i="3" s="1"/>
  <c r="N101" i="46" l="1"/>
  <c r="O101" i="46" s="1"/>
  <c r="L101" i="46"/>
  <c r="M101" i="46" s="1"/>
  <c r="N20" i="46"/>
  <c r="N102" i="45"/>
  <c r="O102" i="45" s="1"/>
  <c r="L102" i="45"/>
  <c r="M102" i="45" s="1"/>
  <c r="N21" i="45"/>
  <c r="N102" i="44"/>
  <c r="O102" i="44" s="1"/>
  <c r="L102" i="44"/>
  <c r="M102" i="44" s="1"/>
  <c r="M22" i="43"/>
  <c r="N22" i="43" s="1"/>
  <c r="K22" i="43"/>
  <c r="L22" i="43" s="1"/>
  <c r="M22" i="42"/>
  <c r="N22" i="42" s="1"/>
  <c r="K22" i="42"/>
  <c r="L22" i="42" s="1"/>
  <c r="N103" i="41"/>
  <c r="O103" i="41" s="1"/>
  <c r="L103" i="41"/>
  <c r="M103" i="41" s="1"/>
  <c r="N103" i="40"/>
  <c r="O103" i="40" s="1"/>
  <c r="L103" i="40"/>
  <c r="M103" i="40" s="1"/>
  <c r="N104" i="39"/>
  <c r="O104" i="39" s="1"/>
  <c r="L104" i="39"/>
  <c r="M104" i="39" s="1"/>
  <c r="N103" i="38"/>
  <c r="O103" i="38" s="1"/>
  <c r="L103" i="38"/>
  <c r="M103" i="38" s="1"/>
  <c r="N104" i="37"/>
  <c r="O104" i="37" s="1"/>
  <c r="L104" i="37"/>
  <c r="M104" i="37" s="1"/>
  <c r="N107" i="31"/>
  <c r="O107" i="31" s="1"/>
  <c r="L107" i="31"/>
  <c r="M107" i="31" s="1"/>
  <c r="N106" i="30"/>
  <c r="O106" i="30" s="1"/>
  <c r="L106" i="30"/>
  <c r="M106" i="30" s="1"/>
  <c r="N107" i="29"/>
  <c r="O107" i="29" s="1"/>
  <c r="L107" i="29"/>
  <c r="M107" i="29" s="1"/>
  <c r="N107" i="28"/>
  <c r="O107" i="28" s="1"/>
  <c r="L107" i="28"/>
  <c r="M107" i="28" s="1"/>
  <c r="N108" i="27"/>
  <c r="O108" i="27" s="1"/>
  <c r="L108" i="27"/>
  <c r="M108" i="27" s="1"/>
  <c r="N111" i="25"/>
  <c r="O111" i="25" s="1"/>
  <c r="L111" i="25"/>
  <c r="M111" i="25" s="1"/>
  <c r="N110" i="25"/>
  <c r="O110" i="25" s="1"/>
  <c r="L110" i="25"/>
  <c r="M110" i="25" s="1"/>
  <c r="N109" i="24"/>
  <c r="O109" i="24" s="1"/>
  <c r="L109" i="24"/>
  <c r="M109" i="24" s="1"/>
  <c r="N110" i="23"/>
  <c r="O110" i="23" s="1"/>
  <c r="L110" i="23"/>
  <c r="M110" i="23" s="1"/>
  <c r="N111" i="22"/>
  <c r="O111" i="22" s="1"/>
  <c r="L111" i="22"/>
  <c r="M111" i="22" s="1"/>
  <c r="N114" i="11"/>
  <c r="O114" i="11" s="1"/>
  <c r="L114" i="11"/>
  <c r="M114" i="11" s="1"/>
  <c r="N115" i="10"/>
  <c r="O115" i="10" s="1"/>
  <c r="L115" i="10"/>
  <c r="M115" i="10" s="1"/>
  <c r="N114" i="9"/>
  <c r="O114" i="9" s="1"/>
  <c r="L114" i="9"/>
  <c r="M114" i="9" s="1"/>
  <c r="N113" i="8"/>
  <c r="O113" i="8" s="1"/>
  <c r="L113" i="8"/>
  <c r="M113" i="8" s="1"/>
  <c r="N115" i="7"/>
  <c r="O115" i="7" s="1"/>
  <c r="L115" i="7"/>
  <c r="M115" i="7" s="1"/>
  <c r="N113" i="6"/>
  <c r="O113" i="6" s="1"/>
  <c r="L113" i="6"/>
  <c r="M113" i="6" s="1"/>
  <c r="N112" i="4"/>
  <c r="O112" i="4" s="1"/>
  <c r="L112" i="4"/>
  <c r="M112" i="4" s="1"/>
  <c r="N112" i="3"/>
  <c r="O112" i="3" s="1"/>
  <c r="L112" i="3"/>
  <c r="M112" i="3" s="1"/>
  <c r="O20" i="46" l="1"/>
  <c r="P103" i="38"/>
  <c r="P107" i="28"/>
  <c r="P107" i="31"/>
  <c r="O21" i="45"/>
  <c r="P115" i="10"/>
  <c r="P114" i="11"/>
  <c r="P110" i="25"/>
  <c r="P102" i="44"/>
  <c r="P110" i="23"/>
  <c r="P113" i="6"/>
  <c r="P106" i="30"/>
  <c r="P109" i="24"/>
  <c r="P108" i="27"/>
  <c r="P104" i="39"/>
  <c r="P115" i="7"/>
  <c r="P112" i="4"/>
  <c r="P113" i="8"/>
  <c r="P107" i="29"/>
  <c r="O22" i="43"/>
  <c r="O22" i="42"/>
  <c r="P103" i="41"/>
  <c r="P103" i="40"/>
  <c r="P104" i="37"/>
  <c r="P111" i="25"/>
  <c r="P111" i="22"/>
  <c r="P114" i="9"/>
  <c r="P112" i="3"/>
  <c r="W48" i="17" l="1"/>
  <c r="W47" i="17"/>
  <c r="P154" i="47"/>
  <c r="O154" i="47"/>
  <c r="M154" i="47"/>
  <c r="J154" i="47"/>
  <c r="P153" i="47"/>
  <c r="O153" i="47"/>
  <c r="M153" i="47"/>
  <c r="J153" i="47"/>
  <c r="P152" i="47"/>
  <c r="O152" i="47"/>
  <c r="M152" i="47"/>
  <c r="J152" i="47"/>
  <c r="P151" i="47"/>
  <c r="O151" i="47"/>
  <c r="M151" i="47"/>
  <c r="J151" i="47"/>
  <c r="P150" i="47"/>
  <c r="O150" i="47"/>
  <c r="M150" i="47"/>
  <c r="J150" i="47"/>
  <c r="P149" i="47"/>
  <c r="O149" i="47"/>
  <c r="M149" i="47"/>
  <c r="J149" i="47"/>
  <c r="P148" i="47"/>
  <c r="O148" i="47"/>
  <c r="M148" i="47"/>
  <c r="J148" i="47"/>
  <c r="P147" i="47"/>
  <c r="O147" i="47"/>
  <c r="M147" i="47"/>
  <c r="J147" i="47"/>
  <c r="P146" i="47"/>
  <c r="O146" i="47"/>
  <c r="M146" i="47"/>
  <c r="J146" i="47"/>
  <c r="P145" i="47"/>
  <c r="O145" i="47"/>
  <c r="M145" i="47"/>
  <c r="J145" i="47"/>
  <c r="P144" i="47"/>
  <c r="O144" i="47"/>
  <c r="M144" i="47"/>
  <c r="J144" i="47"/>
  <c r="P143" i="47"/>
  <c r="O143" i="47"/>
  <c r="M143" i="47"/>
  <c r="J143" i="47"/>
  <c r="P142" i="47"/>
  <c r="O142" i="47"/>
  <c r="M142" i="47"/>
  <c r="J142" i="47"/>
  <c r="P141" i="47"/>
  <c r="O141" i="47"/>
  <c r="M141" i="47"/>
  <c r="J141" i="47"/>
  <c r="P140" i="47"/>
  <c r="O140" i="47"/>
  <c r="M140" i="47"/>
  <c r="J140" i="47"/>
  <c r="P139" i="47"/>
  <c r="O139" i="47"/>
  <c r="M139" i="47"/>
  <c r="J139" i="47"/>
  <c r="P138" i="47"/>
  <c r="O138" i="47"/>
  <c r="M138" i="47"/>
  <c r="J138" i="47"/>
  <c r="P137" i="47"/>
  <c r="O137" i="47"/>
  <c r="M137" i="47"/>
  <c r="J137" i="47"/>
  <c r="P136" i="47"/>
  <c r="O136" i="47"/>
  <c r="M136" i="47"/>
  <c r="J136" i="47"/>
  <c r="P135" i="47"/>
  <c r="O135" i="47"/>
  <c r="M135" i="47"/>
  <c r="J135" i="47"/>
  <c r="P134" i="47"/>
  <c r="O134" i="47"/>
  <c r="M134" i="47"/>
  <c r="J134" i="47"/>
  <c r="P133" i="47"/>
  <c r="O133" i="47"/>
  <c r="M133" i="47"/>
  <c r="J133" i="47"/>
  <c r="P132" i="47"/>
  <c r="O132" i="47"/>
  <c r="M132" i="47"/>
  <c r="J132" i="47"/>
  <c r="P131" i="47"/>
  <c r="O131" i="47"/>
  <c r="M131" i="47"/>
  <c r="J131" i="47"/>
  <c r="O130" i="47"/>
  <c r="M130" i="47"/>
  <c r="O129" i="47"/>
  <c r="M129" i="47"/>
  <c r="O128" i="47"/>
  <c r="M128" i="47"/>
  <c r="O127" i="47"/>
  <c r="M127" i="47"/>
  <c r="O126" i="47"/>
  <c r="M126" i="47"/>
  <c r="O125" i="47"/>
  <c r="M125" i="47"/>
  <c r="O124" i="47"/>
  <c r="M124" i="47"/>
  <c r="O123" i="47"/>
  <c r="M123" i="47"/>
  <c r="O122" i="47"/>
  <c r="M122" i="47"/>
  <c r="O121" i="47"/>
  <c r="M121" i="47"/>
  <c r="O120" i="47"/>
  <c r="M120" i="47"/>
  <c r="O119" i="47"/>
  <c r="M119" i="47"/>
  <c r="O118" i="47"/>
  <c r="M118" i="47"/>
  <c r="O117" i="47"/>
  <c r="M117" i="47"/>
  <c r="O116" i="47"/>
  <c r="M116" i="47"/>
  <c r="O115" i="47"/>
  <c r="M115" i="47"/>
  <c r="O114" i="47"/>
  <c r="M114" i="47"/>
  <c r="O113" i="47"/>
  <c r="M113" i="47"/>
  <c r="O112" i="47"/>
  <c r="M112" i="47"/>
  <c r="O111" i="47"/>
  <c r="M111" i="47"/>
  <c r="O110" i="47"/>
  <c r="M110" i="47"/>
  <c r="O109" i="47"/>
  <c r="M109" i="47"/>
  <c r="O108" i="47"/>
  <c r="M108" i="47"/>
  <c r="O107" i="47"/>
  <c r="M107" i="47"/>
  <c r="O106" i="47"/>
  <c r="M106" i="47"/>
  <c r="O105" i="47"/>
  <c r="M105" i="47"/>
  <c r="O104" i="47"/>
  <c r="M104" i="47"/>
  <c r="O103" i="47"/>
  <c r="M103" i="47"/>
  <c r="O102" i="47"/>
  <c r="M102" i="47"/>
  <c r="D96" i="47"/>
  <c r="D94" i="47"/>
  <c r="L93" i="47"/>
  <c r="D93" i="47"/>
  <c r="D90" i="47"/>
  <c r="N72" i="47"/>
  <c r="L72" i="47"/>
  <c r="N71" i="47"/>
  <c r="L71" i="47"/>
  <c r="N70" i="47"/>
  <c r="L70" i="47"/>
  <c r="N69" i="47"/>
  <c r="L69" i="47"/>
  <c r="N68" i="47"/>
  <c r="L68" i="47"/>
  <c r="N67" i="47"/>
  <c r="L67" i="47"/>
  <c r="N66" i="47"/>
  <c r="L66" i="47"/>
  <c r="N65" i="47"/>
  <c r="L65" i="47"/>
  <c r="N64" i="47"/>
  <c r="L64" i="47"/>
  <c r="N63" i="47"/>
  <c r="L63" i="47"/>
  <c r="N62" i="47"/>
  <c r="L62" i="47"/>
  <c r="N61" i="47"/>
  <c r="L61" i="47"/>
  <c r="N60" i="47"/>
  <c r="L60" i="47"/>
  <c r="N59" i="47"/>
  <c r="L59" i="47"/>
  <c r="N58" i="47"/>
  <c r="L58" i="47"/>
  <c r="N57" i="47"/>
  <c r="L57" i="47"/>
  <c r="N56" i="47"/>
  <c r="L56" i="47"/>
  <c r="N55" i="47"/>
  <c r="L55" i="47"/>
  <c r="N54" i="47"/>
  <c r="L54" i="47"/>
  <c r="N53" i="47"/>
  <c r="L53" i="47"/>
  <c r="N52" i="47"/>
  <c r="L52" i="47"/>
  <c r="N51" i="47"/>
  <c r="L51" i="47"/>
  <c r="N50" i="47"/>
  <c r="L50" i="47"/>
  <c r="N49" i="47"/>
  <c r="L49" i="47"/>
  <c r="N48" i="47"/>
  <c r="L48" i="47"/>
  <c r="N47" i="47"/>
  <c r="L47" i="47"/>
  <c r="N46" i="47"/>
  <c r="L46" i="47"/>
  <c r="N45" i="47"/>
  <c r="L45" i="47"/>
  <c r="N44" i="47"/>
  <c r="L44" i="47"/>
  <c r="N43" i="47"/>
  <c r="L43" i="47"/>
  <c r="N42" i="47"/>
  <c r="L42" i="47"/>
  <c r="N41" i="47"/>
  <c r="L41" i="47"/>
  <c r="N40" i="47"/>
  <c r="L40" i="47"/>
  <c r="N39" i="47"/>
  <c r="L39" i="47"/>
  <c r="N38" i="47"/>
  <c r="L38" i="47"/>
  <c r="N37" i="47"/>
  <c r="L37" i="47"/>
  <c r="N36" i="47"/>
  <c r="L36" i="47"/>
  <c r="N35" i="47"/>
  <c r="L35" i="47"/>
  <c r="N34" i="47"/>
  <c r="L34" i="47"/>
  <c r="N33" i="47"/>
  <c r="L33" i="47"/>
  <c r="N32" i="47"/>
  <c r="L32" i="47"/>
  <c r="N31" i="47"/>
  <c r="L31" i="47"/>
  <c r="N30" i="47"/>
  <c r="L30" i="47"/>
  <c r="N29" i="47"/>
  <c r="L29" i="47"/>
  <c r="N28" i="47"/>
  <c r="L28" i="47"/>
  <c r="N27" i="47"/>
  <c r="L27" i="47"/>
  <c r="N26" i="47"/>
  <c r="L26" i="47"/>
  <c r="N25" i="47"/>
  <c r="L25" i="47"/>
  <c r="N24" i="47"/>
  <c r="L24" i="47"/>
  <c r="N23" i="47"/>
  <c r="L23" i="47"/>
  <c r="N22" i="47"/>
  <c r="L22" i="47"/>
  <c r="N21" i="47"/>
  <c r="L21" i="47"/>
  <c r="C17" i="47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C32" i="47" s="1"/>
  <c r="C33" i="47" s="1"/>
  <c r="C34" i="47" s="1"/>
  <c r="C35" i="47" s="1"/>
  <c r="C36" i="47" s="1"/>
  <c r="C37" i="47" s="1"/>
  <c r="C38" i="47" s="1"/>
  <c r="C39" i="47" s="1"/>
  <c r="C40" i="47" s="1"/>
  <c r="C41" i="47" s="1"/>
  <c r="C42" i="47" s="1"/>
  <c r="C43" i="47" s="1"/>
  <c r="C44" i="47" s="1"/>
  <c r="C45" i="47" s="1"/>
  <c r="C46" i="47" s="1"/>
  <c r="C47" i="47" s="1"/>
  <c r="C48" i="47" s="1"/>
  <c r="C49" i="47" s="1"/>
  <c r="C50" i="47" s="1"/>
  <c r="C51" i="47" s="1"/>
  <c r="C52" i="47" s="1"/>
  <c r="C53" i="47" s="1"/>
  <c r="C54" i="47" s="1"/>
  <c r="C55" i="47" s="1"/>
  <c r="C56" i="47" s="1"/>
  <c r="C57" i="47" s="1"/>
  <c r="C58" i="47" s="1"/>
  <c r="C59" i="47" s="1"/>
  <c r="C60" i="47" s="1"/>
  <c r="C61" i="47" s="1"/>
  <c r="C62" i="47" s="1"/>
  <c r="C63" i="47" s="1"/>
  <c r="C64" i="47" s="1"/>
  <c r="C65" i="47" s="1"/>
  <c r="C66" i="47" s="1"/>
  <c r="C67" i="47" s="1"/>
  <c r="C68" i="47" s="1"/>
  <c r="C69" i="47" s="1"/>
  <c r="C70" i="47" s="1"/>
  <c r="C71" i="47" s="1"/>
  <c r="C72" i="47" s="1"/>
  <c r="K11" i="47"/>
  <c r="P83" i="47"/>
  <c r="P154" i="49"/>
  <c r="O154" i="49"/>
  <c r="M154" i="49"/>
  <c r="J154" i="49"/>
  <c r="P153" i="49"/>
  <c r="O153" i="49"/>
  <c r="M153" i="49"/>
  <c r="J153" i="49"/>
  <c r="P152" i="49"/>
  <c r="O152" i="49"/>
  <c r="M152" i="49"/>
  <c r="J152" i="49"/>
  <c r="P151" i="49"/>
  <c r="O151" i="49"/>
  <c r="M151" i="49"/>
  <c r="J151" i="49"/>
  <c r="P150" i="49"/>
  <c r="O150" i="49"/>
  <c r="M150" i="49"/>
  <c r="J150" i="49"/>
  <c r="P149" i="49"/>
  <c r="O149" i="49"/>
  <c r="M149" i="49"/>
  <c r="J149" i="49"/>
  <c r="P148" i="49"/>
  <c r="O148" i="49"/>
  <c r="M148" i="49"/>
  <c r="J148" i="49"/>
  <c r="P147" i="49"/>
  <c r="O147" i="49"/>
  <c r="M147" i="49"/>
  <c r="J147" i="49"/>
  <c r="P146" i="49"/>
  <c r="O146" i="49"/>
  <c r="M146" i="49"/>
  <c r="J146" i="49"/>
  <c r="P145" i="49"/>
  <c r="O145" i="49"/>
  <c r="M145" i="49"/>
  <c r="J145" i="49"/>
  <c r="P144" i="49"/>
  <c r="O144" i="49"/>
  <c r="M144" i="49"/>
  <c r="J144" i="49"/>
  <c r="P143" i="49"/>
  <c r="O143" i="49"/>
  <c r="M143" i="49"/>
  <c r="J143" i="49"/>
  <c r="P142" i="49"/>
  <c r="O142" i="49"/>
  <c r="M142" i="49"/>
  <c r="J142" i="49"/>
  <c r="P141" i="49"/>
  <c r="O141" i="49"/>
  <c r="M141" i="49"/>
  <c r="J141" i="49"/>
  <c r="P140" i="49"/>
  <c r="O140" i="49"/>
  <c r="M140" i="49"/>
  <c r="J140" i="49"/>
  <c r="P139" i="49"/>
  <c r="O139" i="49"/>
  <c r="M139" i="49"/>
  <c r="J139" i="49"/>
  <c r="P138" i="49"/>
  <c r="O138" i="49"/>
  <c r="M138" i="49"/>
  <c r="J138" i="49"/>
  <c r="P137" i="49"/>
  <c r="O137" i="49"/>
  <c r="M137" i="49"/>
  <c r="J137" i="49"/>
  <c r="P136" i="49"/>
  <c r="O136" i="49"/>
  <c r="M136" i="49"/>
  <c r="J136" i="49"/>
  <c r="P135" i="49"/>
  <c r="O135" i="49"/>
  <c r="M135" i="49"/>
  <c r="J135" i="49"/>
  <c r="P134" i="49"/>
  <c r="O134" i="49"/>
  <c r="M134" i="49"/>
  <c r="J134" i="49"/>
  <c r="P133" i="49"/>
  <c r="O133" i="49"/>
  <c r="M133" i="49"/>
  <c r="J133" i="49"/>
  <c r="P132" i="49"/>
  <c r="O132" i="49"/>
  <c r="M132" i="49"/>
  <c r="J132" i="49"/>
  <c r="P131" i="49"/>
  <c r="O131" i="49"/>
  <c r="M131" i="49"/>
  <c r="J131" i="49"/>
  <c r="O130" i="49"/>
  <c r="M130" i="49"/>
  <c r="O129" i="49"/>
  <c r="M129" i="49"/>
  <c r="O128" i="49"/>
  <c r="M128" i="49"/>
  <c r="O127" i="49"/>
  <c r="M127" i="49"/>
  <c r="O126" i="49"/>
  <c r="M126" i="49"/>
  <c r="O125" i="49"/>
  <c r="M125" i="49"/>
  <c r="O124" i="49"/>
  <c r="M124" i="49"/>
  <c r="O123" i="49"/>
  <c r="M123" i="49"/>
  <c r="O122" i="49"/>
  <c r="M122" i="49"/>
  <c r="O121" i="49"/>
  <c r="M121" i="49"/>
  <c r="O120" i="49"/>
  <c r="M120" i="49"/>
  <c r="O119" i="49"/>
  <c r="M119" i="49"/>
  <c r="O118" i="49"/>
  <c r="M118" i="49"/>
  <c r="O117" i="49"/>
  <c r="M117" i="49"/>
  <c r="O116" i="49"/>
  <c r="M116" i="49"/>
  <c r="O115" i="49"/>
  <c r="M115" i="49"/>
  <c r="O114" i="49"/>
  <c r="M114" i="49"/>
  <c r="O113" i="49"/>
  <c r="M113" i="49"/>
  <c r="O112" i="49"/>
  <c r="M112" i="49"/>
  <c r="O111" i="49"/>
  <c r="M111" i="49"/>
  <c r="O110" i="49"/>
  <c r="M110" i="49"/>
  <c r="O109" i="49"/>
  <c r="M109" i="49"/>
  <c r="O108" i="49"/>
  <c r="M108" i="49"/>
  <c r="O107" i="49"/>
  <c r="M107" i="49"/>
  <c r="O106" i="49"/>
  <c r="M106" i="49"/>
  <c r="O105" i="49"/>
  <c r="M105" i="49"/>
  <c r="O104" i="49"/>
  <c r="M104" i="49"/>
  <c r="O103" i="49"/>
  <c r="M103" i="49"/>
  <c r="O102" i="49"/>
  <c r="M102" i="49"/>
  <c r="D96" i="49"/>
  <c r="D94" i="49"/>
  <c r="L93" i="49"/>
  <c r="D93" i="49"/>
  <c r="D89" i="49"/>
  <c r="N72" i="49"/>
  <c r="L72" i="49"/>
  <c r="N71" i="49"/>
  <c r="L71" i="49"/>
  <c r="N70" i="49"/>
  <c r="L70" i="49"/>
  <c r="N69" i="49"/>
  <c r="L69" i="49"/>
  <c r="N68" i="49"/>
  <c r="L68" i="49"/>
  <c r="N67" i="49"/>
  <c r="L67" i="49"/>
  <c r="N66" i="49"/>
  <c r="L66" i="49"/>
  <c r="N65" i="49"/>
  <c r="L65" i="49"/>
  <c r="N64" i="49"/>
  <c r="L64" i="49"/>
  <c r="N63" i="49"/>
  <c r="L63" i="49"/>
  <c r="N62" i="49"/>
  <c r="L62" i="49"/>
  <c r="N61" i="49"/>
  <c r="L61" i="49"/>
  <c r="N60" i="49"/>
  <c r="L60" i="49"/>
  <c r="N59" i="49"/>
  <c r="L59" i="49"/>
  <c r="N58" i="49"/>
  <c r="L58" i="49"/>
  <c r="N57" i="49"/>
  <c r="L57" i="49"/>
  <c r="N56" i="49"/>
  <c r="L56" i="49"/>
  <c r="N55" i="49"/>
  <c r="L55" i="49"/>
  <c r="N54" i="49"/>
  <c r="L54" i="49"/>
  <c r="N53" i="49"/>
  <c r="L53" i="49"/>
  <c r="N52" i="49"/>
  <c r="L52" i="49"/>
  <c r="N51" i="49"/>
  <c r="L51" i="49"/>
  <c r="N50" i="49"/>
  <c r="L50" i="49"/>
  <c r="N49" i="49"/>
  <c r="L49" i="49"/>
  <c r="N48" i="49"/>
  <c r="L48" i="49"/>
  <c r="N47" i="49"/>
  <c r="L47" i="49"/>
  <c r="N46" i="49"/>
  <c r="L46" i="49"/>
  <c r="N45" i="49"/>
  <c r="L45" i="49"/>
  <c r="N44" i="49"/>
  <c r="L44" i="49"/>
  <c r="N43" i="49"/>
  <c r="L43" i="49"/>
  <c r="N42" i="49"/>
  <c r="L42" i="49"/>
  <c r="N41" i="49"/>
  <c r="L41" i="49"/>
  <c r="N40" i="49"/>
  <c r="L40" i="49"/>
  <c r="N39" i="49"/>
  <c r="L39" i="49"/>
  <c r="N38" i="49"/>
  <c r="L38" i="49"/>
  <c r="N37" i="49"/>
  <c r="L37" i="49"/>
  <c r="N36" i="49"/>
  <c r="L36" i="49"/>
  <c r="N35" i="49"/>
  <c r="L35" i="49"/>
  <c r="N34" i="49"/>
  <c r="L34" i="49"/>
  <c r="N33" i="49"/>
  <c r="L33" i="49"/>
  <c r="N32" i="49"/>
  <c r="L32" i="49"/>
  <c r="N31" i="49"/>
  <c r="L31" i="49"/>
  <c r="N30" i="49"/>
  <c r="L30" i="49"/>
  <c r="N29" i="49"/>
  <c r="L29" i="49"/>
  <c r="N28" i="49"/>
  <c r="L28" i="49"/>
  <c r="N27" i="49"/>
  <c r="L27" i="49"/>
  <c r="N26" i="49"/>
  <c r="L26" i="49"/>
  <c r="N25" i="49"/>
  <c r="L25" i="49"/>
  <c r="N24" i="49"/>
  <c r="L24" i="49"/>
  <c r="N23" i="49"/>
  <c r="L23" i="49"/>
  <c r="N22" i="49"/>
  <c r="L22" i="49"/>
  <c r="N21" i="49"/>
  <c r="L21" i="49"/>
  <c r="N18" i="49"/>
  <c r="C17" i="49"/>
  <c r="K11" i="49"/>
  <c r="P154" i="48"/>
  <c r="O154" i="48"/>
  <c r="M154" i="48"/>
  <c r="J154" i="48"/>
  <c r="P153" i="48"/>
  <c r="O153" i="48"/>
  <c r="M153" i="48"/>
  <c r="J153" i="48"/>
  <c r="P152" i="48"/>
  <c r="O152" i="48"/>
  <c r="M152" i="48"/>
  <c r="J152" i="48"/>
  <c r="P151" i="48"/>
  <c r="O151" i="48"/>
  <c r="M151" i="48"/>
  <c r="J151" i="48"/>
  <c r="P150" i="48"/>
  <c r="O150" i="48"/>
  <c r="M150" i="48"/>
  <c r="J150" i="48"/>
  <c r="P149" i="48"/>
  <c r="O149" i="48"/>
  <c r="M149" i="48"/>
  <c r="J149" i="48"/>
  <c r="P148" i="48"/>
  <c r="O148" i="48"/>
  <c r="M148" i="48"/>
  <c r="J148" i="48"/>
  <c r="P147" i="48"/>
  <c r="O147" i="48"/>
  <c r="M147" i="48"/>
  <c r="J147" i="48"/>
  <c r="P146" i="48"/>
  <c r="O146" i="48"/>
  <c r="M146" i="48"/>
  <c r="J146" i="48"/>
  <c r="P145" i="48"/>
  <c r="O145" i="48"/>
  <c r="M145" i="48"/>
  <c r="J145" i="48"/>
  <c r="P144" i="48"/>
  <c r="O144" i="48"/>
  <c r="M144" i="48"/>
  <c r="J144" i="48"/>
  <c r="P143" i="48"/>
  <c r="O143" i="48"/>
  <c r="M143" i="48"/>
  <c r="J143" i="48"/>
  <c r="P142" i="48"/>
  <c r="O142" i="48"/>
  <c r="M142" i="48"/>
  <c r="J142" i="48"/>
  <c r="P141" i="48"/>
  <c r="O141" i="48"/>
  <c r="M141" i="48"/>
  <c r="J141" i="48"/>
  <c r="P140" i="48"/>
  <c r="O140" i="48"/>
  <c r="M140" i="48"/>
  <c r="J140" i="48"/>
  <c r="P139" i="48"/>
  <c r="O139" i="48"/>
  <c r="M139" i="48"/>
  <c r="J139" i="48"/>
  <c r="P138" i="48"/>
  <c r="O138" i="48"/>
  <c r="M138" i="48"/>
  <c r="J138" i="48"/>
  <c r="P137" i="48"/>
  <c r="O137" i="48"/>
  <c r="M137" i="48"/>
  <c r="J137" i="48"/>
  <c r="P136" i="48"/>
  <c r="O136" i="48"/>
  <c r="M136" i="48"/>
  <c r="J136" i="48"/>
  <c r="P135" i="48"/>
  <c r="O135" i="48"/>
  <c r="M135" i="48"/>
  <c r="J135" i="48"/>
  <c r="P134" i="48"/>
  <c r="O134" i="48"/>
  <c r="M134" i="48"/>
  <c r="J134" i="48"/>
  <c r="P133" i="48"/>
  <c r="O133" i="48"/>
  <c r="M133" i="48"/>
  <c r="J133" i="48"/>
  <c r="P132" i="48"/>
  <c r="O132" i="48"/>
  <c r="M132" i="48"/>
  <c r="J132" i="48"/>
  <c r="P131" i="48"/>
  <c r="O131" i="48"/>
  <c r="M131" i="48"/>
  <c r="J131" i="48"/>
  <c r="O130" i="48"/>
  <c r="M130" i="48"/>
  <c r="O129" i="48"/>
  <c r="M129" i="48"/>
  <c r="O128" i="48"/>
  <c r="M128" i="48"/>
  <c r="O127" i="48"/>
  <c r="M127" i="48"/>
  <c r="O126" i="48"/>
  <c r="M126" i="48"/>
  <c r="O125" i="48"/>
  <c r="M125" i="48"/>
  <c r="O124" i="48"/>
  <c r="M124" i="48"/>
  <c r="O123" i="48"/>
  <c r="M123" i="48"/>
  <c r="O122" i="48"/>
  <c r="M122" i="48"/>
  <c r="O121" i="48"/>
  <c r="M121" i="48"/>
  <c r="O120" i="48"/>
  <c r="M120" i="48"/>
  <c r="O119" i="48"/>
  <c r="M119" i="48"/>
  <c r="O118" i="48"/>
  <c r="M118" i="48"/>
  <c r="O117" i="48"/>
  <c r="M117" i="48"/>
  <c r="O116" i="48"/>
  <c r="M116" i="48"/>
  <c r="O115" i="48"/>
  <c r="M115" i="48"/>
  <c r="O114" i="48"/>
  <c r="M114" i="48"/>
  <c r="O113" i="48"/>
  <c r="M113" i="48"/>
  <c r="O112" i="48"/>
  <c r="M112" i="48"/>
  <c r="O111" i="48"/>
  <c r="M111" i="48"/>
  <c r="O110" i="48"/>
  <c r="M110" i="48"/>
  <c r="O109" i="48"/>
  <c r="M109" i="48"/>
  <c r="O108" i="48"/>
  <c r="M108" i="48"/>
  <c r="O107" i="48"/>
  <c r="M107" i="48"/>
  <c r="O106" i="48"/>
  <c r="M106" i="48"/>
  <c r="O105" i="48"/>
  <c r="M105" i="48"/>
  <c r="O104" i="48"/>
  <c r="M104" i="48"/>
  <c r="O103" i="48"/>
  <c r="M103" i="48"/>
  <c r="D96" i="48"/>
  <c r="D94" i="48"/>
  <c r="L93" i="48"/>
  <c r="D93" i="48"/>
  <c r="D91" i="48"/>
  <c r="D89" i="48"/>
  <c r="N72" i="48"/>
  <c r="L72" i="48"/>
  <c r="N71" i="48"/>
  <c r="L71" i="48"/>
  <c r="N70" i="48"/>
  <c r="L70" i="48"/>
  <c r="N69" i="48"/>
  <c r="L69" i="48"/>
  <c r="N68" i="48"/>
  <c r="L68" i="48"/>
  <c r="N67" i="48"/>
  <c r="L67" i="48"/>
  <c r="N66" i="48"/>
  <c r="L66" i="48"/>
  <c r="N65" i="48"/>
  <c r="L65" i="48"/>
  <c r="N64" i="48"/>
  <c r="L64" i="48"/>
  <c r="N63" i="48"/>
  <c r="L63" i="48"/>
  <c r="N62" i="48"/>
  <c r="L62" i="48"/>
  <c r="N61" i="48"/>
  <c r="L61" i="48"/>
  <c r="N60" i="48"/>
  <c r="L60" i="48"/>
  <c r="N59" i="48"/>
  <c r="L59" i="48"/>
  <c r="N58" i="48"/>
  <c r="L58" i="48"/>
  <c r="N57" i="48"/>
  <c r="L57" i="48"/>
  <c r="N56" i="48"/>
  <c r="L56" i="48"/>
  <c r="N55" i="48"/>
  <c r="L55" i="48"/>
  <c r="N54" i="48"/>
  <c r="L54" i="48"/>
  <c r="N53" i="48"/>
  <c r="L53" i="48"/>
  <c r="N52" i="48"/>
  <c r="L52" i="48"/>
  <c r="N51" i="48"/>
  <c r="L51" i="48"/>
  <c r="N50" i="48"/>
  <c r="L50" i="48"/>
  <c r="N49" i="48"/>
  <c r="L49" i="48"/>
  <c r="N48" i="48"/>
  <c r="L48" i="48"/>
  <c r="N47" i="48"/>
  <c r="L47" i="48"/>
  <c r="N46" i="48"/>
  <c r="L46" i="48"/>
  <c r="N45" i="48"/>
  <c r="L45" i="48"/>
  <c r="N44" i="48"/>
  <c r="L44" i="48"/>
  <c r="N43" i="48"/>
  <c r="L43" i="48"/>
  <c r="N42" i="48"/>
  <c r="L42" i="48"/>
  <c r="N41" i="48"/>
  <c r="L41" i="48"/>
  <c r="N40" i="48"/>
  <c r="L40" i="48"/>
  <c r="N39" i="48"/>
  <c r="L39" i="48"/>
  <c r="N38" i="48"/>
  <c r="L38" i="48"/>
  <c r="N37" i="48"/>
  <c r="L37" i="48"/>
  <c r="N36" i="48"/>
  <c r="L36" i="48"/>
  <c r="N35" i="48"/>
  <c r="L35" i="48"/>
  <c r="N34" i="48"/>
  <c r="L34" i="48"/>
  <c r="N33" i="48"/>
  <c r="L33" i="48"/>
  <c r="N32" i="48"/>
  <c r="L32" i="48"/>
  <c r="N31" i="48"/>
  <c r="L31" i="48"/>
  <c r="N30" i="48"/>
  <c r="L30" i="48"/>
  <c r="N29" i="48"/>
  <c r="L29" i="48"/>
  <c r="N28" i="48"/>
  <c r="L28" i="48"/>
  <c r="N27" i="48"/>
  <c r="L27" i="48"/>
  <c r="N26" i="48"/>
  <c r="L26" i="48"/>
  <c r="N25" i="48"/>
  <c r="L25" i="48"/>
  <c r="N24" i="48"/>
  <c r="L24" i="48"/>
  <c r="N23" i="48"/>
  <c r="L23" i="48"/>
  <c r="N22" i="48"/>
  <c r="L22" i="48"/>
  <c r="N19" i="48"/>
  <c r="N18" i="48"/>
  <c r="C17" i="48"/>
  <c r="K11" i="48"/>
  <c r="N100" i="46"/>
  <c r="L100" i="46"/>
  <c r="M100" i="46" s="1"/>
  <c r="M19" i="46"/>
  <c r="K19" i="46"/>
  <c r="L19" i="46" s="1"/>
  <c r="N101" i="45"/>
  <c r="L101" i="45"/>
  <c r="M101" i="45" s="1"/>
  <c r="M20" i="45"/>
  <c r="K20" i="45"/>
  <c r="L20" i="45" s="1"/>
  <c r="N101" i="44"/>
  <c r="L101" i="44"/>
  <c r="M101" i="44" s="1"/>
  <c r="M20" i="44"/>
  <c r="K20" i="44"/>
  <c r="L20" i="44" s="1"/>
  <c r="N102" i="43"/>
  <c r="L102" i="43"/>
  <c r="M102" i="43" s="1"/>
  <c r="M21" i="43"/>
  <c r="K21" i="43"/>
  <c r="L21" i="43" s="1"/>
  <c r="N102" i="42"/>
  <c r="L102" i="42"/>
  <c r="M102" i="42" s="1"/>
  <c r="M21" i="42"/>
  <c r="K21" i="42"/>
  <c r="L21" i="42" s="1"/>
  <c r="N102" i="41"/>
  <c r="L102" i="41"/>
  <c r="M102" i="41" s="1"/>
  <c r="M21" i="41"/>
  <c r="K21" i="41"/>
  <c r="L21" i="41" s="1"/>
  <c r="N102" i="40"/>
  <c r="L102" i="40"/>
  <c r="M102" i="40" s="1"/>
  <c r="M21" i="40"/>
  <c r="K21" i="40"/>
  <c r="L21" i="40" s="1"/>
  <c r="N103" i="39"/>
  <c r="L103" i="39"/>
  <c r="M103" i="39" s="1"/>
  <c r="M22" i="39"/>
  <c r="K22" i="39"/>
  <c r="L22" i="39" s="1"/>
  <c r="N102" i="38"/>
  <c r="L102" i="38"/>
  <c r="M102" i="38" s="1"/>
  <c r="M22" i="38"/>
  <c r="K22" i="38"/>
  <c r="L22" i="38" s="1"/>
  <c r="N103" i="37"/>
  <c r="L103" i="37"/>
  <c r="M103" i="37" s="1"/>
  <c r="M22" i="37"/>
  <c r="K22" i="37"/>
  <c r="L22" i="37" s="1"/>
  <c r="N106" i="31"/>
  <c r="L106" i="31"/>
  <c r="M106" i="31" s="1"/>
  <c r="M25" i="31"/>
  <c r="K25" i="31"/>
  <c r="L25" i="31" s="1"/>
  <c r="N105" i="30"/>
  <c r="L105" i="30"/>
  <c r="M105" i="30" s="1"/>
  <c r="M24" i="30"/>
  <c r="K24" i="30"/>
  <c r="L24" i="30" s="1"/>
  <c r="N106" i="29"/>
  <c r="L106" i="29"/>
  <c r="M106" i="29" s="1"/>
  <c r="M25" i="29"/>
  <c r="K25" i="29"/>
  <c r="L25" i="29" s="1"/>
  <c r="N106" i="28"/>
  <c r="L106" i="28"/>
  <c r="M106" i="28" s="1"/>
  <c r="M25" i="28"/>
  <c r="K25" i="28"/>
  <c r="L25" i="28" s="1"/>
  <c r="N107" i="27"/>
  <c r="L107" i="27"/>
  <c r="M107" i="27" s="1"/>
  <c r="M26" i="27"/>
  <c r="K26" i="27"/>
  <c r="L26" i="27" s="1"/>
  <c r="M29" i="25"/>
  <c r="K29" i="25"/>
  <c r="L29" i="25" s="1"/>
  <c r="N108" i="24"/>
  <c r="L108" i="24"/>
  <c r="M108" i="24" s="1"/>
  <c r="M27" i="24"/>
  <c r="K27" i="24"/>
  <c r="L27" i="24" s="1"/>
  <c r="N109" i="23"/>
  <c r="L109" i="23"/>
  <c r="M109" i="23" s="1"/>
  <c r="M28" i="23"/>
  <c r="K28" i="23"/>
  <c r="L28" i="23" s="1"/>
  <c r="N110" i="22"/>
  <c r="L110" i="22"/>
  <c r="M110" i="22" s="1"/>
  <c r="M29" i="22"/>
  <c r="K29" i="22"/>
  <c r="L29" i="22" s="1"/>
  <c r="N113" i="11"/>
  <c r="L113" i="11"/>
  <c r="M113" i="11" s="1"/>
  <c r="M32" i="11"/>
  <c r="K32" i="11"/>
  <c r="L32" i="11" s="1"/>
  <c r="N114" i="10"/>
  <c r="L114" i="10"/>
  <c r="M114" i="10" s="1"/>
  <c r="M33" i="10"/>
  <c r="K33" i="10"/>
  <c r="L33" i="10" s="1"/>
  <c r="N113" i="9"/>
  <c r="L113" i="9"/>
  <c r="M113" i="9" s="1"/>
  <c r="M32" i="9"/>
  <c r="K32" i="9"/>
  <c r="L32" i="9" s="1"/>
  <c r="N112" i="8"/>
  <c r="L112" i="8"/>
  <c r="M112" i="8" s="1"/>
  <c r="M31" i="8"/>
  <c r="K31" i="8"/>
  <c r="L31" i="8" s="1"/>
  <c r="N114" i="7"/>
  <c r="L114" i="7"/>
  <c r="M114" i="7" s="1"/>
  <c r="M33" i="7"/>
  <c r="K33" i="7"/>
  <c r="L33" i="7" s="1"/>
  <c r="N112" i="6"/>
  <c r="L112" i="6"/>
  <c r="M112" i="6" s="1"/>
  <c r="M31" i="6"/>
  <c r="K31" i="6"/>
  <c r="L31" i="6" s="1"/>
  <c r="N111" i="5"/>
  <c r="L111" i="5"/>
  <c r="M111" i="5" s="1"/>
  <c r="M30" i="5"/>
  <c r="K30" i="5"/>
  <c r="L30" i="5" s="1"/>
  <c r="N111" i="4"/>
  <c r="L111" i="4"/>
  <c r="M111" i="4" s="1"/>
  <c r="N111" i="3"/>
  <c r="L111" i="3"/>
  <c r="M111" i="3" s="1"/>
  <c r="M30" i="4"/>
  <c r="K30" i="4"/>
  <c r="L30" i="4" s="1"/>
  <c r="M30" i="3"/>
  <c r="K30" i="3"/>
  <c r="L30" i="3" s="1"/>
  <c r="O72" i="48" l="1"/>
  <c r="P103" i="48"/>
  <c r="O58" i="49"/>
  <c r="P117" i="49"/>
  <c r="P125" i="49"/>
  <c r="O23" i="47"/>
  <c r="P116" i="49"/>
  <c r="O63" i="47"/>
  <c r="O65" i="47"/>
  <c r="O71" i="47"/>
  <c r="P120" i="49"/>
  <c r="P124" i="49"/>
  <c r="O57" i="47"/>
  <c r="O63" i="49"/>
  <c r="O66" i="49"/>
  <c r="O72" i="49"/>
  <c r="O26" i="47"/>
  <c r="O62" i="47"/>
  <c r="P102" i="47"/>
  <c r="P104" i="47"/>
  <c r="O70" i="49"/>
  <c r="P105" i="47"/>
  <c r="P113" i="47"/>
  <c r="P115" i="47"/>
  <c r="P117" i="47"/>
  <c r="O59" i="49"/>
  <c r="P126" i="49"/>
  <c r="O28" i="47"/>
  <c r="O34" i="47"/>
  <c r="O38" i="47"/>
  <c r="O40" i="47"/>
  <c r="O42" i="47"/>
  <c r="O46" i="47"/>
  <c r="O50" i="47"/>
  <c r="O70" i="47"/>
  <c r="P107" i="48"/>
  <c r="O24" i="49"/>
  <c r="O40" i="49"/>
  <c r="O48" i="49"/>
  <c r="P105" i="49"/>
  <c r="O27" i="47"/>
  <c r="O31" i="47"/>
  <c r="O33" i="47"/>
  <c r="O39" i="47"/>
  <c r="O43" i="47"/>
  <c r="O51" i="47"/>
  <c r="O55" i="47"/>
  <c r="P108" i="47"/>
  <c r="O24" i="48"/>
  <c r="O40" i="48"/>
  <c r="O54" i="48"/>
  <c r="P105" i="48"/>
  <c r="O23" i="49"/>
  <c r="O35" i="49"/>
  <c r="O39" i="49"/>
  <c r="P109" i="49"/>
  <c r="P113" i="49"/>
  <c r="P128" i="49"/>
  <c r="O21" i="47"/>
  <c r="P106" i="47"/>
  <c r="P115" i="48"/>
  <c r="P121" i="49"/>
  <c r="O29" i="47"/>
  <c r="O37" i="47"/>
  <c r="O41" i="47"/>
  <c r="O49" i="47"/>
  <c r="O58" i="47"/>
  <c r="P103" i="47"/>
  <c r="P110" i="47"/>
  <c r="P112" i="47"/>
  <c r="P114" i="47"/>
  <c r="P116" i="47"/>
  <c r="O54" i="47"/>
  <c r="O69" i="47"/>
  <c r="P111" i="48"/>
  <c r="O67" i="48"/>
  <c r="O71" i="48"/>
  <c r="O28" i="49"/>
  <c r="O50" i="49"/>
  <c r="O54" i="49"/>
  <c r="O60" i="49"/>
  <c r="O65" i="49"/>
  <c r="O71" i="49"/>
  <c r="P104" i="49"/>
  <c r="P110" i="49"/>
  <c r="P112" i="49"/>
  <c r="P118" i="49"/>
  <c r="P129" i="49"/>
  <c r="O22" i="47"/>
  <c r="O24" i="47"/>
  <c r="O59" i="47"/>
  <c r="O64" i="47"/>
  <c r="O66" i="47"/>
  <c r="O72" i="47"/>
  <c r="P118" i="47"/>
  <c r="P122" i="47"/>
  <c r="P126" i="47"/>
  <c r="O44" i="48"/>
  <c r="O26" i="49"/>
  <c r="O51" i="49"/>
  <c r="O49" i="49"/>
  <c r="P107" i="49"/>
  <c r="O25" i="47"/>
  <c r="O30" i="47"/>
  <c r="O56" i="47"/>
  <c r="O61" i="47"/>
  <c r="P107" i="47"/>
  <c r="P121" i="47"/>
  <c r="P123" i="47"/>
  <c r="P125" i="47"/>
  <c r="P127" i="47"/>
  <c r="P129" i="47"/>
  <c r="O19" i="48"/>
  <c r="O33" i="48"/>
  <c r="O35" i="48"/>
  <c r="O62" i="48"/>
  <c r="O70" i="48"/>
  <c r="P114" i="48"/>
  <c r="P116" i="48"/>
  <c r="P118" i="48"/>
  <c r="O25" i="49"/>
  <c r="O32" i="49"/>
  <c r="O42" i="49"/>
  <c r="P114" i="49"/>
  <c r="P122" i="49"/>
  <c r="P130" i="49"/>
  <c r="O48" i="47"/>
  <c r="O53" i="47"/>
  <c r="P109" i="47"/>
  <c r="O18" i="48"/>
  <c r="O22" i="48"/>
  <c r="O30" i="48"/>
  <c r="O34" i="48"/>
  <c r="O38" i="48"/>
  <c r="O29" i="49"/>
  <c r="O41" i="49"/>
  <c r="O35" i="47"/>
  <c r="O45" i="47"/>
  <c r="O47" i="47"/>
  <c r="O67" i="47"/>
  <c r="P111" i="47"/>
  <c r="P130" i="47"/>
  <c r="O56" i="48"/>
  <c r="O60" i="48"/>
  <c r="O18" i="49"/>
  <c r="O43" i="49"/>
  <c r="O47" i="49"/>
  <c r="P106" i="49"/>
  <c r="P119" i="49"/>
  <c r="P127" i="49"/>
  <c r="B18" i="49"/>
  <c r="C18" i="49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C45" i="49" s="1"/>
  <c r="C46" i="49" s="1"/>
  <c r="C47" i="49" s="1"/>
  <c r="C48" i="49" s="1"/>
  <c r="C49" i="49" s="1"/>
  <c r="C50" i="49" s="1"/>
  <c r="C51" i="49" s="1"/>
  <c r="C52" i="49" s="1"/>
  <c r="C53" i="49" s="1"/>
  <c r="C54" i="49" s="1"/>
  <c r="C55" i="49" s="1"/>
  <c r="C56" i="49" s="1"/>
  <c r="C57" i="49" s="1"/>
  <c r="C58" i="49" s="1"/>
  <c r="C59" i="49" s="1"/>
  <c r="C60" i="49" s="1"/>
  <c r="C61" i="49" s="1"/>
  <c r="C62" i="49" s="1"/>
  <c r="C63" i="49" s="1"/>
  <c r="C64" i="49" s="1"/>
  <c r="C65" i="49" s="1"/>
  <c r="C66" i="49" s="1"/>
  <c r="C67" i="49" s="1"/>
  <c r="C68" i="49" s="1"/>
  <c r="C69" i="49" s="1"/>
  <c r="C70" i="49" s="1"/>
  <c r="C71" i="49" s="1"/>
  <c r="C72" i="49" s="1"/>
  <c r="O27" i="49"/>
  <c r="O34" i="49"/>
  <c r="O36" i="49"/>
  <c r="O55" i="49"/>
  <c r="P115" i="49"/>
  <c r="P123" i="49"/>
  <c r="O47" i="48"/>
  <c r="O49" i="48"/>
  <c r="O66" i="48"/>
  <c r="P106" i="48"/>
  <c r="P113" i="48"/>
  <c r="O31" i="49"/>
  <c r="O33" i="49"/>
  <c r="O44" i="49"/>
  <c r="O46" i="49"/>
  <c r="O52" i="49"/>
  <c r="O57" i="49"/>
  <c r="O62" i="49"/>
  <c r="O64" i="49"/>
  <c r="O67" i="49"/>
  <c r="O69" i="49"/>
  <c r="P103" i="49"/>
  <c r="P108" i="49"/>
  <c r="P111" i="49"/>
  <c r="O32" i="47"/>
  <c r="O36" i="47"/>
  <c r="O44" i="47"/>
  <c r="O52" i="47"/>
  <c r="O60" i="47"/>
  <c r="O68" i="47"/>
  <c r="P119" i="47"/>
  <c r="O28" i="48"/>
  <c r="O48" i="48"/>
  <c r="O52" i="48"/>
  <c r="O55" i="48"/>
  <c r="O59" i="48"/>
  <c r="P108" i="48"/>
  <c r="P110" i="48"/>
  <c r="O21" i="49"/>
  <c r="O37" i="49"/>
  <c r="O56" i="49"/>
  <c r="O68" i="49"/>
  <c r="P102" i="49"/>
  <c r="C99" i="47"/>
  <c r="P120" i="47"/>
  <c r="P124" i="47"/>
  <c r="P128" i="47"/>
  <c r="O39" i="48"/>
  <c r="O61" i="48"/>
  <c r="P124" i="48"/>
  <c r="P128" i="48"/>
  <c r="O58" i="48"/>
  <c r="O63" i="48"/>
  <c r="P104" i="48"/>
  <c r="P109" i="48"/>
  <c r="P112" i="48"/>
  <c r="P117" i="48"/>
  <c r="O22" i="49"/>
  <c r="O30" i="49"/>
  <c r="O38" i="49"/>
  <c r="O37" i="48"/>
  <c r="O46" i="48"/>
  <c r="O50" i="48"/>
  <c r="P122" i="48"/>
  <c r="P126" i="48"/>
  <c r="P130" i="48"/>
  <c r="O23" i="48"/>
  <c r="O32" i="48"/>
  <c r="O36" i="48"/>
  <c r="O51" i="48"/>
  <c r="O53" i="48"/>
  <c r="O64" i="48"/>
  <c r="O69" i="48"/>
  <c r="O25" i="48"/>
  <c r="O27" i="48"/>
  <c r="O41" i="48"/>
  <c r="O43" i="48"/>
  <c r="O45" i="49"/>
  <c r="O53" i="49"/>
  <c r="O61" i="49"/>
  <c r="C99" i="49"/>
  <c r="O26" i="48"/>
  <c r="O29" i="48"/>
  <c r="O31" i="48"/>
  <c r="O42" i="48"/>
  <c r="O45" i="48"/>
  <c r="O57" i="48"/>
  <c r="O65" i="48"/>
  <c r="P121" i="48"/>
  <c r="P123" i="48"/>
  <c r="P125" i="48"/>
  <c r="P127" i="48"/>
  <c r="P129" i="48"/>
  <c r="C18" i="48"/>
  <c r="C19" i="48" s="1"/>
  <c r="C20" i="48" s="1"/>
  <c r="C21" i="48" s="1"/>
  <c r="C22" i="48" s="1"/>
  <c r="C23" i="48" s="1"/>
  <c r="C24" i="48" s="1"/>
  <c r="C25" i="48" s="1"/>
  <c r="C26" i="48" s="1"/>
  <c r="C27" i="48" s="1"/>
  <c r="C28" i="48" s="1"/>
  <c r="C29" i="48" s="1"/>
  <c r="C30" i="48" s="1"/>
  <c r="C31" i="48" s="1"/>
  <c r="C32" i="48" s="1"/>
  <c r="C33" i="48" s="1"/>
  <c r="C34" i="48" s="1"/>
  <c r="C35" i="48" s="1"/>
  <c r="C36" i="48" s="1"/>
  <c r="C37" i="48" s="1"/>
  <c r="C38" i="48" s="1"/>
  <c r="C39" i="48" s="1"/>
  <c r="C40" i="48" s="1"/>
  <c r="C41" i="48" s="1"/>
  <c r="C42" i="48" s="1"/>
  <c r="C43" i="48" s="1"/>
  <c r="C44" i="48" s="1"/>
  <c r="C45" i="48" s="1"/>
  <c r="C46" i="48" s="1"/>
  <c r="C47" i="48" s="1"/>
  <c r="C48" i="48" s="1"/>
  <c r="C49" i="48" s="1"/>
  <c r="C50" i="48" s="1"/>
  <c r="C51" i="48" s="1"/>
  <c r="C52" i="48" s="1"/>
  <c r="C53" i="48" s="1"/>
  <c r="C54" i="48" s="1"/>
  <c r="C55" i="48" s="1"/>
  <c r="C56" i="48" s="1"/>
  <c r="C57" i="48" s="1"/>
  <c r="C58" i="48" s="1"/>
  <c r="C59" i="48" s="1"/>
  <c r="C60" i="48" s="1"/>
  <c r="C61" i="48" s="1"/>
  <c r="C62" i="48" s="1"/>
  <c r="C63" i="48" s="1"/>
  <c r="C64" i="48" s="1"/>
  <c r="C65" i="48" s="1"/>
  <c r="C66" i="48" s="1"/>
  <c r="C67" i="48" s="1"/>
  <c r="C68" i="48" s="1"/>
  <c r="C69" i="48" s="1"/>
  <c r="C70" i="48" s="1"/>
  <c r="C71" i="48" s="1"/>
  <c r="C72" i="48" s="1"/>
  <c r="O68" i="48"/>
  <c r="C99" i="48"/>
  <c r="C100" i="48" s="1"/>
  <c r="C101" i="48" s="1"/>
  <c r="C102" i="48" s="1"/>
  <c r="C103" i="48" s="1"/>
  <c r="C104" i="48" s="1"/>
  <c r="C105" i="48" s="1"/>
  <c r="C106" i="48" s="1"/>
  <c r="C107" i="48" s="1"/>
  <c r="C108" i="48" s="1"/>
  <c r="C109" i="48" s="1"/>
  <c r="C110" i="48" s="1"/>
  <c r="C111" i="48" s="1"/>
  <c r="C112" i="48" s="1"/>
  <c r="C113" i="48" s="1"/>
  <c r="C114" i="48" s="1"/>
  <c r="C115" i="48" s="1"/>
  <c r="C116" i="48" s="1"/>
  <c r="C117" i="48" s="1"/>
  <c r="C118" i="48" s="1"/>
  <c r="C119" i="48" s="1"/>
  <c r="C120" i="48" s="1"/>
  <c r="C121" i="48" s="1"/>
  <c r="C122" i="48" s="1"/>
  <c r="C123" i="48" s="1"/>
  <c r="C124" i="48" s="1"/>
  <c r="C125" i="48" s="1"/>
  <c r="C126" i="48" s="1"/>
  <c r="C127" i="48" s="1"/>
  <c r="C128" i="48" s="1"/>
  <c r="C129" i="48" s="1"/>
  <c r="C130" i="48" s="1"/>
  <c r="C131" i="48" s="1"/>
  <c r="C132" i="48" s="1"/>
  <c r="C133" i="48" s="1"/>
  <c r="C134" i="48" s="1"/>
  <c r="C135" i="48" s="1"/>
  <c r="C136" i="48" s="1"/>
  <c r="C137" i="48" s="1"/>
  <c r="C138" i="48" s="1"/>
  <c r="C139" i="48" s="1"/>
  <c r="C140" i="48" s="1"/>
  <c r="C141" i="48" s="1"/>
  <c r="C142" i="48" s="1"/>
  <c r="C143" i="48" s="1"/>
  <c r="C144" i="48" s="1"/>
  <c r="C145" i="48" s="1"/>
  <c r="C146" i="48" s="1"/>
  <c r="C147" i="48" s="1"/>
  <c r="C148" i="48" s="1"/>
  <c r="C149" i="48" s="1"/>
  <c r="C150" i="48" s="1"/>
  <c r="C151" i="48" s="1"/>
  <c r="C152" i="48" s="1"/>
  <c r="C153" i="48" s="1"/>
  <c r="C154" i="48" s="1"/>
  <c r="P119" i="48"/>
  <c r="P120" i="48"/>
  <c r="C100" i="47" l="1"/>
  <c r="C101" i="47" s="1"/>
  <c r="C102" i="47" s="1"/>
  <c r="C103" i="47" s="1"/>
  <c r="C104" i="47" s="1"/>
  <c r="C105" i="47" s="1"/>
  <c r="C106" i="47" s="1"/>
  <c r="C107" i="47" s="1"/>
  <c r="C108" i="47" s="1"/>
  <c r="C109" i="47" s="1"/>
  <c r="C110" i="47" s="1"/>
  <c r="C111" i="47" s="1"/>
  <c r="C112" i="47" s="1"/>
  <c r="C113" i="47" s="1"/>
  <c r="C114" i="47" s="1"/>
  <c r="C115" i="47" s="1"/>
  <c r="C116" i="47" s="1"/>
  <c r="C117" i="47" s="1"/>
  <c r="C118" i="47" s="1"/>
  <c r="C119" i="47" s="1"/>
  <c r="C120" i="47" s="1"/>
  <c r="C121" i="47" s="1"/>
  <c r="C122" i="47" s="1"/>
  <c r="C123" i="47" s="1"/>
  <c r="C124" i="47" s="1"/>
  <c r="C125" i="47" s="1"/>
  <c r="C126" i="47" s="1"/>
  <c r="C127" i="47" s="1"/>
  <c r="C128" i="47" s="1"/>
  <c r="C129" i="47" s="1"/>
  <c r="C130" i="47" s="1"/>
  <c r="C131" i="47" s="1"/>
  <c r="C132" i="47" s="1"/>
  <c r="C133" i="47" s="1"/>
  <c r="C134" i="47" s="1"/>
  <c r="C135" i="47" s="1"/>
  <c r="C136" i="47" s="1"/>
  <c r="C137" i="47" s="1"/>
  <c r="C138" i="47" s="1"/>
  <c r="C139" i="47" s="1"/>
  <c r="C140" i="47" s="1"/>
  <c r="C141" i="47" s="1"/>
  <c r="C142" i="47" s="1"/>
  <c r="C143" i="47" s="1"/>
  <c r="C144" i="47" s="1"/>
  <c r="C145" i="47" s="1"/>
  <c r="C146" i="47" s="1"/>
  <c r="C147" i="47" s="1"/>
  <c r="C148" i="47" s="1"/>
  <c r="C149" i="47" s="1"/>
  <c r="C150" i="47" s="1"/>
  <c r="C151" i="47" s="1"/>
  <c r="C152" i="47" s="1"/>
  <c r="C153" i="47" s="1"/>
  <c r="C154" i="47" s="1"/>
  <c r="C100" i="49"/>
  <c r="C101" i="49" s="1"/>
  <c r="C102" i="49" s="1"/>
  <c r="C103" i="49" s="1"/>
  <c r="C104" i="49" s="1"/>
  <c r="C105" i="49" s="1"/>
  <c r="C106" i="49" s="1"/>
  <c r="C107" i="49" s="1"/>
  <c r="C108" i="49" s="1"/>
  <c r="C109" i="49" s="1"/>
  <c r="C110" i="49" s="1"/>
  <c r="C111" i="49" s="1"/>
  <c r="C112" i="49" s="1"/>
  <c r="C113" i="49" s="1"/>
  <c r="C114" i="49" s="1"/>
  <c r="C115" i="49" s="1"/>
  <c r="C116" i="49" s="1"/>
  <c r="C117" i="49" s="1"/>
  <c r="C118" i="49" s="1"/>
  <c r="C119" i="49" s="1"/>
  <c r="C120" i="49" s="1"/>
  <c r="C121" i="49" s="1"/>
  <c r="C122" i="49" s="1"/>
  <c r="C123" i="49" s="1"/>
  <c r="C124" i="49" s="1"/>
  <c r="C125" i="49" s="1"/>
  <c r="C126" i="49" s="1"/>
  <c r="C127" i="49" s="1"/>
  <c r="C128" i="49" s="1"/>
  <c r="C129" i="49" s="1"/>
  <c r="C130" i="49" s="1"/>
  <c r="C131" i="49" s="1"/>
  <c r="C132" i="49" s="1"/>
  <c r="C133" i="49" s="1"/>
  <c r="C134" i="49" s="1"/>
  <c r="C135" i="49" s="1"/>
  <c r="C136" i="49" s="1"/>
  <c r="C137" i="49" s="1"/>
  <c r="C138" i="49" s="1"/>
  <c r="C139" i="49" s="1"/>
  <c r="C140" i="49" s="1"/>
  <c r="C141" i="49" s="1"/>
  <c r="C142" i="49" s="1"/>
  <c r="C143" i="49" s="1"/>
  <c r="C144" i="49" s="1"/>
  <c r="C145" i="49" s="1"/>
  <c r="C146" i="49" s="1"/>
  <c r="C147" i="49" s="1"/>
  <c r="C148" i="49" s="1"/>
  <c r="C149" i="49" s="1"/>
  <c r="C150" i="49" s="1"/>
  <c r="C151" i="49" s="1"/>
  <c r="C152" i="49" s="1"/>
  <c r="C153" i="49" s="1"/>
  <c r="C154" i="49" s="1"/>
  <c r="W46" i="17"/>
  <c r="M16" i="2" l="1"/>
  <c r="N99" i="46"/>
  <c r="L99" i="46"/>
  <c r="M99" i="46" s="1"/>
  <c r="M18" i="46"/>
  <c r="K18" i="46"/>
  <c r="L18" i="46" s="1"/>
  <c r="N100" i="45"/>
  <c r="L100" i="45"/>
  <c r="M100" i="45" s="1"/>
  <c r="M19" i="45"/>
  <c r="K19" i="45"/>
  <c r="L19" i="45" s="1"/>
  <c r="N100" i="44"/>
  <c r="L100" i="44"/>
  <c r="M100" i="44" s="1"/>
  <c r="M19" i="44"/>
  <c r="K19" i="44"/>
  <c r="L19" i="44" s="1"/>
  <c r="N101" i="43"/>
  <c r="L101" i="43"/>
  <c r="M101" i="43" s="1"/>
  <c r="M20" i="43"/>
  <c r="K20" i="43"/>
  <c r="L20" i="43" s="1"/>
  <c r="N101" i="42"/>
  <c r="L101" i="42"/>
  <c r="M101" i="42" s="1"/>
  <c r="M20" i="42"/>
  <c r="K20" i="42"/>
  <c r="L20" i="42" s="1"/>
  <c r="N101" i="41"/>
  <c r="L101" i="41"/>
  <c r="M101" i="41" s="1"/>
  <c r="M20" i="41"/>
  <c r="K20" i="41"/>
  <c r="L20" i="41" s="1"/>
  <c r="N101" i="40"/>
  <c r="L101" i="40"/>
  <c r="M101" i="40" s="1"/>
  <c r="M20" i="40"/>
  <c r="K20" i="40"/>
  <c r="L20" i="40" s="1"/>
  <c r="N102" i="39"/>
  <c r="L102" i="39"/>
  <c r="M102" i="39" s="1"/>
  <c r="M21" i="39"/>
  <c r="K21" i="39"/>
  <c r="L21" i="39" s="1"/>
  <c r="N101" i="38"/>
  <c r="L101" i="38"/>
  <c r="M101" i="38" s="1"/>
  <c r="M21" i="38"/>
  <c r="K21" i="38"/>
  <c r="L21" i="38" s="1"/>
  <c r="N102" i="37"/>
  <c r="L102" i="37"/>
  <c r="M102" i="37" s="1"/>
  <c r="M21" i="37"/>
  <c r="K21" i="37"/>
  <c r="L21" i="37" s="1"/>
  <c r="N105" i="31"/>
  <c r="L105" i="31"/>
  <c r="M105" i="31" s="1"/>
  <c r="M24" i="31"/>
  <c r="K24" i="31"/>
  <c r="L24" i="31" s="1"/>
  <c r="N104" i="30"/>
  <c r="L104" i="30"/>
  <c r="M104" i="30" s="1"/>
  <c r="M23" i="30"/>
  <c r="K23" i="30"/>
  <c r="L23" i="30" s="1"/>
  <c r="N105" i="29"/>
  <c r="L105" i="29"/>
  <c r="M105" i="29" s="1"/>
  <c r="M24" i="29"/>
  <c r="K24" i="29"/>
  <c r="L24" i="29" s="1"/>
  <c r="N105" i="28"/>
  <c r="L105" i="28"/>
  <c r="M105" i="28" s="1"/>
  <c r="M24" i="28"/>
  <c r="K24" i="28"/>
  <c r="L24" i="28" s="1"/>
  <c r="N106" i="27"/>
  <c r="L106" i="27"/>
  <c r="M106" i="27" s="1"/>
  <c r="M25" i="27"/>
  <c r="K25" i="27"/>
  <c r="L25" i="27" s="1"/>
  <c r="O154" i="25"/>
  <c r="O153" i="25"/>
  <c r="O152" i="25"/>
  <c r="O151" i="25"/>
  <c r="O150" i="25"/>
  <c r="O149" i="25"/>
  <c r="O148" i="25"/>
  <c r="O147" i="25"/>
  <c r="O146" i="25"/>
  <c r="O145" i="25"/>
  <c r="O144" i="25"/>
  <c r="O143" i="25"/>
  <c r="O142" i="25"/>
  <c r="O141" i="25"/>
  <c r="O140" i="25"/>
  <c r="O139" i="25"/>
  <c r="O138" i="25"/>
  <c r="O137" i="25"/>
  <c r="O136" i="25"/>
  <c r="O135" i="25"/>
  <c r="O134" i="25"/>
  <c r="O133" i="25"/>
  <c r="O132" i="25"/>
  <c r="O131" i="25"/>
  <c r="O130" i="25"/>
  <c r="O129" i="25"/>
  <c r="O128" i="25"/>
  <c r="O127" i="25"/>
  <c r="O126" i="25"/>
  <c r="O125" i="25"/>
  <c r="O124" i="25"/>
  <c r="O123" i="25"/>
  <c r="O122" i="25"/>
  <c r="O121" i="25"/>
  <c r="O120" i="25"/>
  <c r="O119" i="25"/>
  <c r="O118" i="25"/>
  <c r="O117" i="25"/>
  <c r="O116" i="25"/>
  <c r="O115" i="25"/>
  <c r="O114" i="25"/>
  <c r="N109" i="25"/>
  <c r="O109" i="25" s="1"/>
  <c r="L109" i="25"/>
  <c r="M109" i="25" s="1"/>
  <c r="M28" i="25"/>
  <c r="K28" i="25"/>
  <c r="L28" i="25" s="1"/>
  <c r="N107" i="24"/>
  <c r="L107" i="24"/>
  <c r="M107" i="24" s="1"/>
  <c r="M26" i="24"/>
  <c r="K26" i="24"/>
  <c r="L26" i="24" s="1"/>
  <c r="N108" i="23"/>
  <c r="L108" i="23"/>
  <c r="M108" i="23" s="1"/>
  <c r="M27" i="23"/>
  <c r="K27" i="23"/>
  <c r="L27" i="23" s="1"/>
  <c r="N109" i="22"/>
  <c r="L109" i="22"/>
  <c r="M109" i="22" s="1"/>
  <c r="M28" i="22"/>
  <c r="K28" i="22"/>
  <c r="L28" i="22" s="1"/>
  <c r="N112" i="11"/>
  <c r="L112" i="11"/>
  <c r="M112" i="11" s="1"/>
  <c r="M31" i="11"/>
  <c r="K31" i="11"/>
  <c r="L31" i="11" s="1"/>
  <c r="N113" i="10"/>
  <c r="L113" i="10"/>
  <c r="M113" i="10" s="1"/>
  <c r="M32" i="10"/>
  <c r="K32" i="10"/>
  <c r="L32" i="10" s="1"/>
  <c r="N112" i="9"/>
  <c r="L112" i="9"/>
  <c r="M112" i="9" s="1"/>
  <c r="M31" i="9"/>
  <c r="K31" i="9"/>
  <c r="L31" i="9" s="1"/>
  <c r="N111" i="8"/>
  <c r="L111" i="8"/>
  <c r="M111" i="8" s="1"/>
  <c r="M30" i="8"/>
  <c r="K30" i="8"/>
  <c r="L30" i="8" s="1"/>
  <c r="N113" i="7"/>
  <c r="L113" i="7"/>
  <c r="M113" i="7" s="1"/>
  <c r="M32" i="7"/>
  <c r="K32" i="7"/>
  <c r="L32" i="7" s="1"/>
  <c r="N111" i="6"/>
  <c r="L111" i="6"/>
  <c r="M111" i="6" s="1"/>
  <c r="M30" i="6"/>
  <c r="K30" i="6"/>
  <c r="L30" i="6" s="1"/>
  <c r="N110" i="5"/>
  <c r="L110" i="5"/>
  <c r="M110" i="5" s="1"/>
  <c r="M29" i="5"/>
  <c r="K29" i="5"/>
  <c r="L29" i="5" s="1"/>
  <c r="N110" i="4"/>
  <c r="L110" i="4"/>
  <c r="M110" i="4" s="1"/>
  <c r="M29" i="4"/>
  <c r="K29" i="4"/>
  <c r="L29" i="4" s="1"/>
  <c r="J92" i="56" l="1"/>
  <c r="L86" i="56" s="1"/>
  <c r="J92" i="57"/>
  <c r="J92" i="49"/>
  <c r="J92" i="50"/>
  <c r="J92" i="51"/>
  <c r="J92" i="52"/>
  <c r="J92" i="47"/>
  <c r="J92" i="48"/>
  <c r="W45" i="17"/>
  <c r="M87" i="56" l="1"/>
  <c r="N87" i="56"/>
  <c r="O87" i="56" s="1"/>
  <c r="L86" i="57"/>
  <c r="N87" i="57"/>
  <c r="M87" i="57"/>
  <c r="N88" i="57"/>
  <c r="M88" i="57"/>
  <c r="N87" i="52"/>
  <c r="M87" i="52"/>
  <c r="L86" i="52"/>
  <c r="L86" i="50"/>
  <c r="N87" i="51"/>
  <c r="M87" i="51"/>
  <c r="L86" i="51"/>
  <c r="N110" i="3"/>
  <c r="L110" i="3"/>
  <c r="M110" i="3" s="1"/>
  <c r="M29" i="3"/>
  <c r="K29" i="3"/>
  <c r="L29" i="3" s="1"/>
  <c r="M89" i="57" l="1"/>
  <c r="O87" i="57"/>
  <c r="N89" i="57"/>
  <c r="O88" i="57"/>
  <c r="O89" i="57" s="1"/>
  <c r="O87" i="52"/>
  <c r="O87" i="51"/>
  <c r="N99" i="45"/>
  <c r="L99" i="45"/>
  <c r="M99" i="45" s="1"/>
  <c r="N99" i="44"/>
  <c r="L99" i="44"/>
  <c r="M99" i="44" s="1"/>
  <c r="N100" i="43"/>
  <c r="L100" i="43"/>
  <c r="M100" i="43" s="1"/>
  <c r="N100" i="42"/>
  <c r="L100" i="42"/>
  <c r="M100" i="42" s="1"/>
  <c r="L100" i="41"/>
  <c r="M100" i="41" s="1"/>
  <c r="N100" i="40"/>
  <c r="L100" i="40"/>
  <c r="M100" i="40" s="1"/>
  <c r="N101" i="39"/>
  <c r="L101" i="39"/>
  <c r="M101" i="39" s="1"/>
  <c r="N101" i="37"/>
  <c r="L101" i="37"/>
  <c r="M101" i="37" s="1"/>
  <c r="N104" i="31"/>
  <c r="L104" i="31"/>
  <c r="M104" i="31" s="1"/>
  <c r="N103" i="30"/>
  <c r="L103" i="30"/>
  <c r="M103" i="30" s="1"/>
  <c r="N104" i="29"/>
  <c r="L104" i="29"/>
  <c r="M104" i="29" s="1"/>
  <c r="N104" i="28"/>
  <c r="L104" i="28"/>
  <c r="M104" i="28" s="1"/>
  <c r="N105" i="27"/>
  <c r="L105" i="27"/>
  <c r="M105" i="27" s="1"/>
  <c r="N108" i="25"/>
  <c r="O108" i="25" s="1"/>
  <c r="L108" i="25"/>
  <c r="M108" i="25" s="1"/>
  <c r="N106" i="24"/>
  <c r="L106" i="24"/>
  <c r="M106" i="24" s="1"/>
  <c r="N107" i="23"/>
  <c r="L107" i="23"/>
  <c r="M107" i="23" s="1"/>
  <c r="N108" i="22"/>
  <c r="L108" i="22"/>
  <c r="M108" i="22" s="1"/>
  <c r="N111" i="11"/>
  <c r="L111" i="11"/>
  <c r="M111" i="11" s="1"/>
  <c r="N112" i="10"/>
  <c r="L112" i="10"/>
  <c r="M112" i="10" s="1"/>
  <c r="N111" i="9"/>
  <c r="L111" i="9"/>
  <c r="M111" i="9" s="1"/>
  <c r="N110" i="8"/>
  <c r="L110" i="8"/>
  <c r="M110" i="8" s="1"/>
  <c r="N112" i="7"/>
  <c r="L112" i="7"/>
  <c r="M112" i="7" s="1"/>
  <c r="N110" i="6"/>
  <c r="L110" i="6"/>
  <c r="M110" i="6" s="1"/>
  <c r="N109" i="5"/>
  <c r="L109" i="5"/>
  <c r="M109" i="5" s="1"/>
  <c r="N109" i="3"/>
  <c r="L109" i="3"/>
  <c r="M109" i="3" s="1"/>
  <c r="N109" i="4"/>
  <c r="L109" i="4"/>
  <c r="M109" i="4" s="1"/>
  <c r="N100" i="41" l="1"/>
  <c r="M17" i="46" l="1"/>
  <c r="K17" i="46"/>
  <c r="L17" i="46" s="1"/>
  <c r="M18" i="45"/>
  <c r="K18" i="45"/>
  <c r="L18" i="45" s="1"/>
  <c r="M18" i="44"/>
  <c r="K18" i="44"/>
  <c r="L18" i="44" s="1"/>
  <c r="M19" i="43"/>
  <c r="K19" i="43"/>
  <c r="L19" i="43" s="1"/>
  <c r="M19" i="42"/>
  <c r="K19" i="42"/>
  <c r="L19" i="42" s="1"/>
  <c r="M19" i="41"/>
  <c r="K19" i="41"/>
  <c r="L19" i="41" s="1"/>
  <c r="M19" i="40"/>
  <c r="K19" i="40"/>
  <c r="L19" i="40" s="1"/>
  <c r="M20" i="39"/>
  <c r="K20" i="39"/>
  <c r="L20" i="39" s="1"/>
  <c r="M20" i="38"/>
  <c r="K20" i="38"/>
  <c r="L20" i="38" s="1"/>
  <c r="M20" i="37"/>
  <c r="K20" i="37"/>
  <c r="L20" i="37" s="1"/>
  <c r="M23" i="31"/>
  <c r="K23" i="31"/>
  <c r="L23" i="31" s="1"/>
  <c r="M22" i="30"/>
  <c r="K22" i="30"/>
  <c r="L22" i="30" s="1"/>
  <c r="M23" i="29"/>
  <c r="K23" i="29"/>
  <c r="L23" i="29" s="1"/>
  <c r="M23" i="28"/>
  <c r="K23" i="28"/>
  <c r="L23" i="28" s="1"/>
  <c r="M24" i="27"/>
  <c r="K24" i="27"/>
  <c r="L24" i="27" s="1"/>
  <c r="M27" i="25"/>
  <c r="K27" i="25"/>
  <c r="L27" i="25" s="1"/>
  <c r="M25" i="24"/>
  <c r="K25" i="24"/>
  <c r="L25" i="24" s="1"/>
  <c r="M26" i="23"/>
  <c r="K26" i="23"/>
  <c r="L26" i="23" s="1"/>
  <c r="M27" i="22"/>
  <c r="K27" i="22"/>
  <c r="L27" i="22" s="1"/>
  <c r="M30" i="11"/>
  <c r="K30" i="11"/>
  <c r="L30" i="11" s="1"/>
  <c r="M28" i="5"/>
  <c r="K28" i="5"/>
  <c r="L28" i="5" s="1"/>
  <c r="M28" i="3"/>
  <c r="K28" i="3"/>
  <c r="L28" i="3" s="1"/>
  <c r="M31" i="10"/>
  <c r="K31" i="10"/>
  <c r="L31" i="10" s="1"/>
  <c r="M30" i="9"/>
  <c r="K30" i="9"/>
  <c r="L30" i="9" s="1"/>
  <c r="M29" i="8"/>
  <c r="K29" i="8"/>
  <c r="L29" i="8" s="1"/>
  <c r="M31" i="7"/>
  <c r="K31" i="7"/>
  <c r="L31" i="7" s="1"/>
  <c r="M29" i="6"/>
  <c r="K29" i="6"/>
  <c r="L29" i="6" s="1"/>
  <c r="M1048576" i="6"/>
  <c r="K1048576" i="6"/>
  <c r="L1048576" i="6" s="1"/>
  <c r="M28" i="4"/>
  <c r="N28" i="4" s="1"/>
  <c r="K28" i="4"/>
  <c r="L28" i="4" s="1"/>
  <c r="P45" i="17"/>
  <c r="W44" i="17" l="1"/>
  <c r="W43" i="17"/>
  <c r="N55" i="17"/>
  <c r="E55" i="17"/>
  <c r="M17" i="45" l="1"/>
  <c r="K17" i="45"/>
  <c r="L17" i="45" s="1"/>
  <c r="M17" i="44"/>
  <c r="K17" i="44"/>
  <c r="L17" i="44" s="1"/>
  <c r="M18" i="42"/>
  <c r="K18" i="42"/>
  <c r="L18" i="42" s="1"/>
  <c r="M18" i="43"/>
  <c r="K18" i="43"/>
  <c r="L18" i="43" s="1"/>
  <c r="M18" i="41"/>
  <c r="K18" i="41"/>
  <c r="L18" i="41" s="1"/>
  <c r="M18" i="40"/>
  <c r="K18" i="40"/>
  <c r="L18" i="40" s="1"/>
  <c r="M19" i="39"/>
  <c r="K19" i="39"/>
  <c r="L19" i="39" s="1"/>
  <c r="M19" i="38"/>
  <c r="K19" i="38"/>
  <c r="L19" i="38" s="1"/>
  <c r="M19" i="37"/>
  <c r="K19" i="37"/>
  <c r="L19" i="37" s="1"/>
  <c r="M22" i="31"/>
  <c r="K22" i="31"/>
  <c r="L22" i="31" s="1"/>
  <c r="M21" i="30"/>
  <c r="K21" i="30"/>
  <c r="L21" i="30" s="1"/>
  <c r="M22" i="29"/>
  <c r="K22" i="29"/>
  <c r="L22" i="29" s="1"/>
  <c r="M22" i="28"/>
  <c r="K22" i="28"/>
  <c r="L22" i="28" s="1"/>
  <c r="M23" i="27"/>
  <c r="K23" i="27"/>
  <c r="L23" i="27" s="1"/>
  <c r="M26" i="25"/>
  <c r="N26" i="25" s="1"/>
  <c r="K26" i="25"/>
  <c r="L26" i="25" s="1"/>
  <c r="M24" i="24"/>
  <c r="N24" i="24" s="1"/>
  <c r="K24" i="24"/>
  <c r="L24" i="24" s="1"/>
  <c r="M25" i="23"/>
  <c r="N25" i="23" s="1"/>
  <c r="K25" i="23"/>
  <c r="L25" i="23" s="1"/>
  <c r="M26" i="22"/>
  <c r="N26" i="22" s="1"/>
  <c r="K26" i="22"/>
  <c r="L26" i="22" s="1"/>
  <c r="M29" i="11"/>
  <c r="N29" i="11" s="1"/>
  <c r="K29" i="11"/>
  <c r="L29" i="11" s="1"/>
  <c r="O24" i="24" l="1"/>
  <c r="O25" i="23"/>
  <c r="O26" i="22"/>
  <c r="M30" i="10" l="1"/>
  <c r="N30" i="10" s="1"/>
  <c r="K30" i="10"/>
  <c r="L30" i="10" s="1"/>
  <c r="M29" i="9"/>
  <c r="N29" i="9" s="1"/>
  <c r="K29" i="9"/>
  <c r="L29" i="9" s="1"/>
  <c r="M28" i="8"/>
  <c r="N28" i="8" s="1"/>
  <c r="K28" i="8"/>
  <c r="L28" i="8" s="1"/>
  <c r="M30" i="7"/>
  <c r="N30" i="7" s="1"/>
  <c r="K30" i="7"/>
  <c r="L30" i="7" s="1"/>
  <c r="M28" i="6"/>
  <c r="N28" i="6" s="1"/>
  <c r="K28" i="6"/>
  <c r="L28" i="6" s="1"/>
  <c r="M27" i="5"/>
  <c r="N27" i="5" s="1"/>
  <c r="K27" i="5"/>
  <c r="L27" i="5" s="1"/>
  <c r="M27" i="4"/>
  <c r="N27" i="4" s="1"/>
  <c r="K27" i="4"/>
  <c r="L27" i="4" s="1"/>
  <c r="M27" i="3"/>
  <c r="N27" i="3" s="1"/>
  <c r="K27" i="3"/>
  <c r="L27" i="3" s="1"/>
  <c r="O27" i="4" l="1"/>
  <c r="O30" i="10"/>
  <c r="O29" i="9"/>
  <c r="O28" i="8"/>
  <c r="O30" i="7"/>
  <c r="O28" i="6"/>
  <c r="O27" i="5"/>
  <c r="O27" i="3"/>
  <c r="N99" i="43" l="1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40"/>
  <c r="O99" i="40" s="1"/>
  <c r="L99" i="40"/>
  <c r="M99" i="40" s="1"/>
  <c r="N100" i="39"/>
  <c r="O100" i="39" s="1"/>
  <c r="L100" i="39"/>
  <c r="M100" i="39" s="1"/>
  <c r="N100" i="37"/>
  <c r="O100" i="37" s="1"/>
  <c r="L100" i="37"/>
  <c r="M100" i="37" s="1"/>
  <c r="N103" i="31"/>
  <c r="O103" i="31" s="1"/>
  <c r="L103" i="31"/>
  <c r="M103" i="31" s="1"/>
  <c r="N102" i="30"/>
  <c r="O102" i="30" s="1"/>
  <c r="L102" i="30"/>
  <c r="M102" i="30" s="1"/>
  <c r="N103" i="29"/>
  <c r="O103" i="29" s="1"/>
  <c r="L103" i="29"/>
  <c r="M103" i="29" s="1"/>
  <c r="N103" i="28"/>
  <c r="O103" i="28" s="1"/>
  <c r="L103" i="28"/>
  <c r="M103" i="28" s="1"/>
  <c r="N104" i="27"/>
  <c r="O104" i="27" s="1"/>
  <c r="L104" i="27"/>
  <c r="M104" i="27" s="1"/>
  <c r="N107" i="25"/>
  <c r="O107" i="25" s="1"/>
  <c r="L107" i="25"/>
  <c r="M107" i="25" s="1"/>
  <c r="N105" i="24"/>
  <c r="O105" i="24" s="1"/>
  <c r="L105" i="24"/>
  <c r="M105" i="24" s="1"/>
  <c r="N106" i="23"/>
  <c r="O106" i="23" s="1"/>
  <c r="L106" i="23"/>
  <c r="M106" i="23" s="1"/>
  <c r="N107" i="22"/>
  <c r="O107" i="22" s="1"/>
  <c r="L107" i="22"/>
  <c r="M107" i="22" s="1"/>
  <c r="N110" i="11"/>
  <c r="O110" i="11" s="1"/>
  <c r="L110" i="11"/>
  <c r="M110" i="11" s="1"/>
  <c r="N111" i="10"/>
  <c r="O111" i="10" s="1"/>
  <c r="L111" i="10"/>
  <c r="M111" i="10" s="1"/>
  <c r="N110" i="9"/>
  <c r="O110" i="9" s="1"/>
  <c r="L110" i="9"/>
  <c r="M110" i="9" s="1"/>
  <c r="N109" i="8"/>
  <c r="O109" i="8" s="1"/>
  <c r="L109" i="8"/>
  <c r="M109" i="8" s="1"/>
  <c r="N111" i="7"/>
  <c r="O111" i="7" s="1"/>
  <c r="L111" i="7"/>
  <c r="M111" i="7" s="1"/>
  <c r="N109" i="6"/>
  <c r="O109" i="6" s="1"/>
  <c r="L109" i="6"/>
  <c r="M109" i="6" s="1"/>
  <c r="N108" i="5"/>
  <c r="O108" i="5" s="1"/>
  <c r="L108" i="5"/>
  <c r="M108" i="5" s="1"/>
  <c r="N108" i="4"/>
  <c r="O108" i="4" s="1"/>
  <c r="L108" i="4"/>
  <c r="M108" i="4" s="1"/>
  <c r="N108" i="3"/>
  <c r="O108" i="3" s="1"/>
  <c r="L108" i="3"/>
  <c r="M108" i="3" s="1"/>
  <c r="O55" i="17"/>
  <c r="P44" i="17"/>
  <c r="P43" i="17"/>
  <c r="P108" i="5" l="1"/>
  <c r="P106" i="23"/>
  <c r="P110" i="9"/>
  <c r="P103" i="28"/>
  <c r="P108" i="4"/>
  <c r="P107" i="22"/>
  <c r="P104" i="27"/>
  <c r="P99" i="42"/>
  <c r="P108" i="3"/>
  <c r="P111" i="7"/>
  <c r="P110" i="11"/>
  <c r="P107" i="25"/>
  <c r="P99" i="41"/>
  <c r="P99" i="43"/>
  <c r="P109" i="8"/>
  <c r="P109" i="6"/>
  <c r="P111" i="10"/>
  <c r="P105" i="24"/>
  <c r="P103" i="29"/>
  <c r="P99" i="40"/>
  <c r="P100" i="39"/>
  <c r="P103" i="31"/>
  <c r="P100" i="37"/>
  <c r="P102" i="30"/>
  <c r="M17" i="43" l="1"/>
  <c r="K17" i="43"/>
  <c r="E36" i="1"/>
  <c r="E35" i="1"/>
  <c r="C36" i="1"/>
  <c r="C35" i="1"/>
  <c r="L19" i="1"/>
  <c r="I10" i="57" s="1"/>
  <c r="I62" i="17"/>
  <c r="I10" i="56" l="1"/>
  <c r="I10" i="52"/>
  <c r="I10" i="50"/>
  <c r="I10" i="51"/>
  <c r="A4" i="1"/>
  <c r="A2" i="1"/>
  <c r="I53" i="17"/>
  <c r="N6" i="51" l="1"/>
  <c r="N5" i="51"/>
  <c r="E99" i="52"/>
  <c r="F99" i="52" s="1"/>
  <c r="G99" i="52" s="1"/>
  <c r="N6" i="52"/>
  <c r="N5" i="52"/>
  <c r="N7" i="57"/>
  <c r="N5" i="56"/>
  <c r="N6" i="56"/>
  <c r="P42" i="17"/>
  <c r="N7" i="51" l="1"/>
  <c r="N7" i="52"/>
  <c r="D100" i="52"/>
  <c r="B100" i="52" s="1"/>
  <c r="D100" i="50"/>
  <c r="N7" i="56"/>
  <c r="E36" i="2"/>
  <c r="E35" i="2"/>
  <c r="C36" i="2"/>
  <c r="C35" i="2"/>
  <c r="C34" i="2"/>
  <c r="B100" i="50" l="1"/>
  <c r="W42" i="17"/>
  <c r="P154" i="46"/>
  <c r="O154" i="46"/>
  <c r="M154" i="46"/>
  <c r="J154" i="46"/>
  <c r="P153" i="46"/>
  <c r="O153" i="46"/>
  <c r="M153" i="46"/>
  <c r="J153" i="46"/>
  <c r="P152" i="46"/>
  <c r="O152" i="46"/>
  <c r="M152" i="46"/>
  <c r="J152" i="46"/>
  <c r="P151" i="46"/>
  <c r="O151" i="46"/>
  <c r="M151" i="46"/>
  <c r="J151" i="46"/>
  <c r="P150" i="46"/>
  <c r="O150" i="46"/>
  <c r="M150" i="46"/>
  <c r="J150" i="46"/>
  <c r="P149" i="46"/>
  <c r="O149" i="46"/>
  <c r="M149" i="46"/>
  <c r="J149" i="46"/>
  <c r="P148" i="46"/>
  <c r="O148" i="46"/>
  <c r="M148" i="46"/>
  <c r="J148" i="46"/>
  <c r="P147" i="46"/>
  <c r="O147" i="46"/>
  <c r="M147" i="46"/>
  <c r="J147" i="46"/>
  <c r="P146" i="46"/>
  <c r="O146" i="46"/>
  <c r="M146" i="46"/>
  <c r="J146" i="46"/>
  <c r="P145" i="46"/>
  <c r="O145" i="46"/>
  <c r="M145" i="46"/>
  <c r="J145" i="46"/>
  <c r="P144" i="46"/>
  <c r="O144" i="46"/>
  <c r="M144" i="46"/>
  <c r="J144" i="46"/>
  <c r="P143" i="46"/>
  <c r="O143" i="46"/>
  <c r="M143" i="46"/>
  <c r="J143" i="46"/>
  <c r="P142" i="46"/>
  <c r="O142" i="46"/>
  <c r="M142" i="46"/>
  <c r="J142" i="46"/>
  <c r="P141" i="46"/>
  <c r="O141" i="46"/>
  <c r="M141" i="46"/>
  <c r="J141" i="46"/>
  <c r="P140" i="46"/>
  <c r="O140" i="46"/>
  <c r="M140" i="46"/>
  <c r="J140" i="46"/>
  <c r="P139" i="46"/>
  <c r="O139" i="46"/>
  <c r="M139" i="46"/>
  <c r="J139" i="46"/>
  <c r="P138" i="46"/>
  <c r="O138" i="46"/>
  <c r="M138" i="46"/>
  <c r="J138" i="46"/>
  <c r="P137" i="46"/>
  <c r="O137" i="46"/>
  <c r="M137" i="46"/>
  <c r="J137" i="46"/>
  <c r="P136" i="46"/>
  <c r="O136" i="46"/>
  <c r="M136" i="46"/>
  <c r="J136" i="46"/>
  <c r="P135" i="46"/>
  <c r="O135" i="46"/>
  <c r="M135" i="46"/>
  <c r="J135" i="46"/>
  <c r="P134" i="46"/>
  <c r="O134" i="46"/>
  <c r="M134" i="46"/>
  <c r="J134" i="46"/>
  <c r="P133" i="46"/>
  <c r="O133" i="46"/>
  <c r="M133" i="46"/>
  <c r="J133" i="46"/>
  <c r="P132" i="46"/>
  <c r="O132" i="46"/>
  <c r="M132" i="46"/>
  <c r="J132" i="46"/>
  <c r="P131" i="46"/>
  <c r="O131" i="46"/>
  <c r="M131" i="46"/>
  <c r="J131" i="46"/>
  <c r="O130" i="46"/>
  <c r="M130" i="46"/>
  <c r="O129" i="46"/>
  <c r="M129" i="46"/>
  <c r="O128" i="46"/>
  <c r="M128" i="46"/>
  <c r="O127" i="46"/>
  <c r="M127" i="46"/>
  <c r="O126" i="46"/>
  <c r="M126" i="46"/>
  <c r="O125" i="46"/>
  <c r="M125" i="46"/>
  <c r="O124" i="46"/>
  <c r="M124" i="46"/>
  <c r="O123" i="46"/>
  <c r="M123" i="46"/>
  <c r="O122" i="46"/>
  <c r="M122" i="46"/>
  <c r="O121" i="46"/>
  <c r="M121" i="46"/>
  <c r="O120" i="46"/>
  <c r="M120" i="46"/>
  <c r="O119" i="46"/>
  <c r="M119" i="46"/>
  <c r="O118" i="46"/>
  <c r="M118" i="46"/>
  <c r="O117" i="46"/>
  <c r="M117" i="46"/>
  <c r="O116" i="46"/>
  <c r="M116" i="46"/>
  <c r="O115" i="46"/>
  <c r="M115" i="46"/>
  <c r="O114" i="46"/>
  <c r="M114" i="46"/>
  <c r="O113" i="46"/>
  <c r="M113" i="46"/>
  <c r="O112" i="46"/>
  <c r="M112" i="46"/>
  <c r="O111" i="46"/>
  <c r="M111" i="46"/>
  <c r="O110" i="46"/>
  <c r="M110" i="46"/>
  <c r="O109" i="46"/>
  <c r="M109" i="46"/>
  <c r="O108" i="46"/>
  <c r="M108" i="46"/>
  <c r="O107" i="46"/>
  <c r="M107" i="46"/>
  <c r="O106" i="46"/>
  <c r="M106" i="46"/>
  <c r="O105" i="46"/>
  <c r="M105" i="46"/>
  <c r="O104" i="46"/>
  <c r="M104" i="46"/>
  <c r="O100" i="46"/>
  <c r="O99" i="46"/>
  <c r="C99" i="46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D96" i="46"/>
  <c r="L93" i="46"/>
  <c r="J93" i="46"/>
  <c r="N72" i="46"/>
  <c r="L72" i="46"/>
  <c r="N71" i="46"/>
  <c r="L71" i="46"/>
  <c r="N70" i="46"/>
  <c r="L70" i="46"/>
  <c r="N69" i="46"/>
  <c r="L69" i="46"/>
  <c r="N68" i="46"/>
  <c r="L68" i="46"/>
  <c r="N67" i="46"/>
  <c r="L67" i="46"/>
  <c r="N66" i="46"/>
  <c r="L66" i="46"/>
  <c r="N65" i="46"/>
  <c r="L65" i="46"/>
  <c r="N64" i="46"/>
  <c r="L64" i="46"/>
  <c r="N63" i="46"/>
  <c r="L63" i="46"/>
  <c r="N62" i="46"/>
  <c r="L62" i="46"/>
  <c r="N61" i="46"/>
  <c r="L61" i="46"/>
  <c r="N60" i="46"/>
  <c r="L60" i="46"/>
  <c r="N59" i="46"/>
  <c r="L59" i="46"/>
  <c r="N58" i="46"/>
  <c r="L58" i="46"/>
  <c r="N57" i="46"/>
  <c r="L57" i="46"/>
  <c r="N56" i="46"/>
  <c r="L56" i="46"/>
  <c r="N55" i="46"/>
  <c r="L55" i="46"/>
  <c r="N54" i="46"/>
  <c r="L54" i="46"/>
  <c r="N53" i="46"/>
  <c r="L53" i="46"/>
  <c r="N52" i="46"/>
  <c r="L52" i="46"/>
  <c r="N51" i="46"/>
  <c r="L51" i="46"/>
  <c r="N50" i="46"/>
  <c r="L50" i="46"/>
  <c r="N49" i="46"/>
  <c r="L49" i="46"/>
  <c r="N48" i="46"/>
  <c r="L48" i="46"/>
  <c r="N47" i="46"/>
  <c r="L47" i="46"/>
  <c r="N46" i="46"/>
  <c r="L46" i="46"/>
  <c r="N45" i="46"/>
  <c r="L45" i="46"/>
  <c r="N44" i="46"/>
  <c r="L44" i="46"/>
  <c r="N43" i="46"/>
  <c r="L43" i="46"/>
  <c r="N42" i="46"/>
  <c r="L42" i="46"/>
  <c r="N41" i="46"/>
  <c r="L41" i="46"/>
  <c r="N40" i="46"/>
  <c r="L40" i="46"/>
  <c r="N39" i="46"/>
  <c r="L39" i="46"/>
  <c r="N38" i="46"/>
  <c r="L38" i="46"/>
  <c r="N37" i="46"/>
  <c r="L37" i="46"/>
  <c r="N36" i="46"/>
  <c r="L36" i="46"/>
  <c r="N35" i="46"/>
  <c r="L35" i="46"/>
  <c r="N34" i="46"/>
  <c r="L34" i="46"/>
  <c r="N33" i="46"/>
  <c r="L33" i="46"/>
  <c r="N32" i="46"/>
  <c r="L32" i="46"/>
  <c r="N31" i="46"/>
  <c r="L31" i="46"/>
  <c r="N30" i="46"/>
  <c r="L30" i="46"/>
  <c r="N29" i="46"/>
  <c r="L29" i="46"/>
  <c r="N28" i="46"/>
  <c r="L28" i="46"/>
  <c r="N27" i="46"/>
  <c r="L27" i="46"/>
  <c r="N26" i="46"/>
  <c r="L26" i="46"/>
  <c r="N25" i="46"/>
  <c r="L25" i="46"/>
  <c r="N24" i="46"/>
  <c r="L24" i="46"/>
  <c r="N23" i="46"/>
  <c r="L23" i="46"/>
  <c r="N19" i="46"/>
  <c r="N18" i="46"/>
  <c r="N17" i="46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K11" i="46"/>
  <c r="I11" i="46"/>
  <c r="D90" i="46"/>
  <c r="P1" i="46"/>
  <c r="P83" i="46" s="1"/>
  <c r="P154" i="45"/>
  <c r="O154" i="45"/>
  <c r="M154" i="45"/>
  <c r="J154" i="45"/>
  <c r="P153" i="45"/>
  <c r="O153" i="45"/>
  <c r="M153" i="45"/>
  <c r="J153" i="45"/>
  <c r="P152" i="45"/>
  <c r="O152" i="45"/>
  <c r="M152" i="45"/>
  <c r="J152" i="45"/>
  <c r="P151" i="45"/>
  <c r="O151" i="45"/>
  <c r="M151" i="45"/>
  <c r="J151" i="45"/>
  <c r="P150" i="45"/>
  <c r="O150" i="45"/>
  <c r="M150" i="45"/>
  <c r="J150" i="45"/>
  <c r="P149" i="45"/>
  <c r="O149" i="45"/>
  <c r="M149" i="45"/>
  <c r="J149" i="45"/>
  <c r="P148" i="45"/>
  <c r="O148" i="45"/>
  <c r="M148" i="45"/>
  <c r="J148" i="45"/>
  <c r="P147" i="45"/>
  <c r="O147" i="45"/>
  <c r="M147" i="45"/>
  <c r="J147" i="45"/>
  <c r="P146" i="45"/>
  <c r="O146" i="45"/>
  <c r="M146" i="45"/>
  <c r="J146" i="45"/>
  <c r="P145" i="45"/>
  <c r="O145" i="45"/>
  <c r="M145" i="45"/>
  <c r="J145" i="45"/>
  <c r="P144" i="45"/>
  <c r="O144" i="45"/>
  <c r="M144" i="45"/>
  <c r="J144" i="45"/>
  <c r="P143" i="45"/>
  <c r="O143" i="45"/>
  <c r="M143" i="45"/>
  <c r="J143" i="45"/>
  <c r="P142" i="45"/>
  <c r="O142" i="45"/>
  <c r="M142" i="45"/>
  <c r="J142" i="45"/>
  <c r="P141" i="45"/>
  <c r="O141" i="45"/>
  <c r="M141" i="45"/>
  <c r="J141" i="45"/>
  <c r="P140" i="45"/>
  <c r="O140" i="45"/>
  <c r="M140" i="45"/>
  <c r="J140" i="45"/>
  <c r="P139" i="45"/>
  <c r="O139" i="45"/>
  <c r="M139" i="45"/>
  <c r="J139" i="45"/>
  <c r="P138" i="45"/>
  <c r="O138" i="45"/>
  <c r="M138" i="45"/>
  <c r="J138" i="45"/>
  <c r="P137" i="45"/>
  <c r="O137" i="45"/>
  <c r="M137" i="45"/>
  <c r="J137" i="45"/>
  <c r="P136" i="45"/>
  <c r="O136" i="45"/>
  <c r="M136" i="45"/>
  <c r="J136" i="45"/>
  <c r="P135" i="45"/>
  <c r="O135" i="45"/>
  <c r="M135" i="45"/>
  <c r="J135" i="45"/>
  <c r="P134" i="45"/>
  <c r="O134" i="45"/>
  <c r="M134" i="45"/>
  <c r="J134" i="45"/>
  <c r="P133" i="45"/>
  <c r="O133" i="45"/>
  <c r="M133" i="45"/>
  <c r="J133" i="45"/>
  <c r="P132" i="45"/>
  <c r="O132" i="45"/>
  <c r="M132" i="45"/>
  <c r="J132" i="45"/>
  <c r="P131" i="45"/>
  <c r="O131" i="45"/>
  <c r="M131" i="45"/>
  <c r="J131" i="45"/>
  <c r="O130" i="45"/>
  <c r="M130" i="45"/>
  <c r="O129" i="45"/>
  <c r="M129" i="45"/>
  <c r="O128" i="45"/>
  <c r="M128" i="45"/>
  <c r="O127" i="45"/>
  <c r="M127" i="45"/>
  <c r="O126" i="45"/>
  <c r="M126" i="45"/>
  <c r="O125" i="45"/>
  <c r="M125" i="45"/>
  <c r="O124" i="45"/>
  <c r="M124" i="45"/>
  <c r="O123" i="45"/>
  <c r="M123" i="45"/>
  <c r="O122" i="45"/>
  <c r="M122" i="45"/>
  <c r="O121" i="45"/>
  <c r="M121" i="45"/>
  <c r="O120" i="45"/>
  <c r="M120" i="45"/>
  <c r="O119" i="45"/>
  <c r="M119" i="45"/>
  <c r="O118" i="45"/>
  <c r="M118" i="45"/>
  <c r="O117" i="45"/>
  <c r="M117" i="45"/>
  <c r="O116" i="45"/>
  <c r="M116" i="45"/>
  <c r="O115" i="45"/>
  <c r="M115" i="45"/>
  <c r="O114" i="45"/>
  <c r="M114" i="45"/>
  <c r="O113" i="45"/>
  <c r="M113" i="45"/>
  <c r="O112" i="45"/>
  <c r="M112" i="45"/>
  <c r="O111" i="45"/>
  <c r="M111" i="45"/>
  <c r="O110" i="45"/>
  <c r="M110" i="45"/>
  <c r="O109" i="45"/>
  <c r="M109" i="45"/>
  <c r="O108" i="45"/>
  <c r="M108" i="45"/>
  <c r="O107" i="45"/>
  <c r="M107" i="45"/>
  <c r="O106" i="45"/>
  <c r="M106" i="45"/>
  <c r="O105" i="45"/>
  <c r="M105" i="45"/>
  <c r="O101" i="45"/>
  <c r="O100" i="45"/>
  <c r="O99" i="45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D96" i="45"/>
  <c r="L93" i="45"/>
  <c r="J93" i="45"/>
  <c r="D91" i="45"/>
  <c r="D89" i="45"/>
  <c r="N72" i="45"/>
  <c r="L72" i="45"/>
  <c r="N71" i="45"/>
  <c r="L71" i="45"/>
  <c r="N70" i="45"/>
  <c r="L70" i="45"/>
  <c r="N69" i="45"/>
  <c r="L69" i="45"/>
  <c r="N68" i="45"/>
  <c r="L68" i="45"/>
  <c r="N67" i="45"/>
  <c r="L67" i="45"/>
  <c r="N66" i="45"/>
  <c r="L66" i="45"/>
  <c r="N65" i="45"/>
  <c r="L65" i="45"/>
  <c r="N64" i="45"/>
  <c r="L64" i="45"/>
  <c r="N63" i="45"/>
  <c r="L63" i="45"/>
  <c r="N62" i="45"/>
  <c r="L62" i="45"/>
  <c r="N61" i="45"/>
  <c r="L61" i="45"/>
  <c r="N60" i="45"/>
  <c r="L60" i="45"/>
  <c r="N59" i="45"/>
  <c r="L59" i="45"/>
  <c r="N58" i="45"/>
  <c r="L58" i="45"/>
  <c r="N57" i="45"/>
  <c r="L57" i="45"/>
  <c r="N56" i="45"/>
  <c r="L56" i="45"/>
  <c r="N55" i="45"/>
  <c r="L55" i="45"/>
  <c r="N54" i="45"/>
  <c r="L54" i="45"/>
  <c r="N53" i="45"/>
  <c r="L53" i="45"/>
  <c r="N52" i="45"/>
  <c r="L52" i="45"/>
  <c r="N51" i="45"/>
  <c r="L51" i="45"/>
  <c r="N50" i="45"/>
  <c r="L50" i="45"/>
  <c r="N49" i="45"/>
  <c r="L49" i="45"/>
  <c r="N48" i="45"/>
  <c r="L48" i="45"/>
  <c r="N47" i="45"/>
  <c r="L47" i="45"/>
  <c r="N46" i="45"/>
  <c r="L46" i="45"/>
  <c r="N45" i="45"/>
  <c r="L45" i="45"/>
  <c r="N44" i="45"/>
  <c r="L44" i="45"/>
  <c r="N43" i="45"/>
  <c r="L43" i="45"/>
  <c r="N42" i="45"/>
  <c r="L42" i="45"/>
  <c r="N41" i="45"/>
  <c r="L41" i="45"/>
  <c r="N40" i="45"/>
  <c r="L40" i="45"/>
  <c r="N39" i="45"/>
  <c r="L39" i="45"/>
  <c r="N38" i="45"/>
  <c r="L38" i="45"/>
  <c r="N37" i="45"/>
  <c r="L37" i="45"/>
  <c r="N36" i="45"/>
  <c r="L36" i="45"/>
  <c r="N35" i="45"/>
  <c r="L35" i="45"/>
  <c r="N34" i="45"/>
  <c r="L34" i="45"/>
  <c r="N33" i="45"/>
  <c r="L33" i="45"/>
  <c r="N32" i="45"/>
  <c r="L32" i="45"/>
  <c r="N31" i="45"/>
  <c r="L31" i="45"/>
  <c r="N30" i="45"/>
  <c r="L30" i="45"/>
  <c r="N29" i="45"/>
  <c r="L29" i="45"/>
  <c r="N28" i="45"/>
  <c r="L28" i="45"/>
  <c r="N27" i="45"/>
  <c r="L27" i="45"/>
  <c r="N26" i="45"/>
  <c r="L26" i="45"/>
  <c r="N25" i="45"/>
  <c r="L25" i="45"/>
  <c r="N24" i="45"/>
  <c r="L24" i="45"/>
  <c r="N20" i="45"/>
  <c r="N19" i="45"/>
  <c r="N18" i="45"/>
  <c r="N17" i="45"/>
  <c r="C17" i="45"/>
  <c r="K11" i="45"/>
  <c r="I11" i="45"/>
  <c r="D90" i="45"/>
  <c r="P1" i="45"/>
  <c r="P83" i="45" s="1"/>
  <c r="P154" i="44"/>
  <c r="O154" i="44"/>
  <c r="M154" i="44"/>
  <c r="J154" i="44"/>
  <c r="P153" i="44"/>
  <c r="O153" i="44"/>
  <c r="M153" i="44"/>
  <c r="J153" i="44"/>
  <c r="P152" i="44"/>
  <c r="O152" i="44"/>
  <c r="M152" i="44"/>
  <c r="J152" i="44"/>
  <c r="P151" i="44"/>
  <c r="O151" i="44"/>
  <c r="M151" i="44"/>
  <c r="J151" i="44"/>
  <c r="P150" i="44"/>
  <c r="O150" i="44"/>
  <c r="M150" i="44"/>
  <c r="J150" i="44"/>
  <c r="P149" i="44"/>
  <c r="O149" i="44"/>
  <c r="M149" i="44"/>
  <c r="J149" i="44"/>
  <c r="P148" i="44"/>
  <c r="O148" i="44"/>
  <c r="M148" i="44"/>
  <c r="J148" i="44"/>
  <c r="P147" i="44"/>
  <c r="O147" i="44"/>
  <c r="M147" i="44"/>
  <c r="J147" i="44"/>
  <c r="P146" i="44"/>
  <c r="O146" i="44"/>
  <c r="M146" i="44"/>
  <c r="J146" i="44"/>
  <c r="P145" i="44"/>
  <c r="O145" i="44"/>
  <c r="M145" i="44"/>
  <c r="J145" i="44"/>
  <c r="P144" i="44"/>
  <c r="O144" i="44"/>
  <c r="M144" i="44"/>
  <c r="J144" i="44"/>
  <c r="P143" i="44"/>
  <c r="O143" i="44"/>
  <c r="M143" i="44"/>
  <c r="J143" i="44"/>
  <c r="P142" i="44"/>
  <c r="O142" i="44"/>
  <c r="M142" i="44"/>
  <c r="J142" i="44"/>
  <c r="P141" i="44"/>
  <c r="O141" i="44"/>
  <c r="M141" i="44"/>
  <c r="J141" i="44"/>
  <c r="P140" i="44"/>
  <c r="O140" i="44"/>
  <c r="M140" i="44"/>
  <c r="J140" i="44"/>
  <c r="P139" i="44"/>
  <c r="O139" i="44"/>
  <c r="M139" i="44"/>
  <c r="J139" i="44"/>
  <c r="P138" i="44"/>
  <c r="O138" i="44"/>
  <c r="M138" i="44"/>
  <c r="J138" i="44"/>
  <c r="P137" i="44"/>
  <c r="O137" i="44"/>
  <c r="M137" i="44"/>
  <c r="J137" i="44"/>
  <c r="P136" i="44"/>
  <c r="O136" i="44"/>
  <c r="M136" i="44"/>
  <c r="J136" i="44"/>
  <c r="P135" i="44"/>
  <c r="O135" i="44"/>
  <c r="M135" i="44"/>
  <c r="J135" i="44"/>
  <c r="P134" i="44"/>
  <c r="O134" i="44"/>
  <c r="M134" i="44"/>
  <c r="J134" i="44"/>
  <c r="P133" i="44"/>
  <c r="O133" i="44"/>
  <c r="M133" i="44"/>
  <c r="J133" i="44"/>
  <c r="P132" i="44"/>
  <c r="O132" i="44"/>
  <c r="M132" i="44"/>
  <c r="J132" i="44"/>
  <c r="P131" i="44"/>
  <c r="O131" i="44"/>
  <c r="M131" i="44"/>
  <c r="J131" i="44"/>
  <c r="O130" i="44"/>
  <c r="M130" i="44"/>
  <c r="O129" i="44"/>
  <c r="M129" i="44"/>
  <c r="O128" i="44"/>
  <c r="M128" i="44"/>
  <c r="O127" i="44"/>
  <c r="M127" i="44"/>
  <c r="O126" i="44"/>
  <c r="M126" i="44"/>
  <c r="O125" i="44"/>
  <c r="M125" i="44"/>
  <c r="O124" i="44"/>
  <c r="M124" i="44"/>
  <c r="O123" i="44"/>
  <c r="M123" i="44"/>
  <c r="O122" i="44"/>
  <c r="M122" i="44"/>
  <c r="O121" i="44"/>
  <c r="M121" i="44"/>
  <c r="O120" i="44"/>
  <c r="M120" i="44"/>
  <c r="O119" i="44"/>
  <c r="M119" i="44"/>
  <c r="O118" i="44"/>
  <c r="M118" i="44"/>
  <c r="O117" i="44"/>
  <c r="M117" i="44"/>
  <c r="O116" i="44"/>
  <c r="M116" i="44"/>
  <c r="O115" i="44"/>
  <c r="M115" i="44"/>
  <c r="O114" i="44"/>
  <c r="M114" i="44"/>
  <c r="O113" i="44"/>
  <c r="M113" i="44"/>
  <c r="O112" i="44"/>
  <c r="M112" i="44"/>
  <c r="O111" i="44"/>
  <c r="M111" i="44"/>
  <c r="O110" i="44"/>
  <c r="M110" i="44"/>
  <c r="O109" i="44"/>
  <c r="M109" i="44"/>
  <c r="O108" i="44"/>
  <c r="M108" i="44"/>
  <c r="O107" i="44"/>
  <c r="M107" i="44"/>
  <c r="O106" i="44"/>
  <c r="M106" i="44"/>
  <c r="O105" i="44"/>
  <c r="M105" i="44"/>
  <c r="O101" i="44"/>
  <c r="O100" i="44"/>
  <c r="O99" i="44"/>
  <c r="C99" i="44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6" i="44"/>
  <c r="L93" i="44"/>
  <c r="J93" i="44"/>
  <c r="D91" i="44"/>
  <c r="D89" i="44"/>
  <c r="N72" i="44"/>
  <c r="L72" i="44"/>
  <c r="N71" i="44"/>
  <c r="L71" i="44"/>
  <c r="N70" i="44"/>
  <c r="L70" i="44"/>
  <c r="N69" i="44"/>
  <c r="L69" i="44"/>
  <c r="N68" i="44"/>
  <c r="L68" i="44"/>
  <c r="N67" i="44"/>
  <c r="L67" i="44"/>
  <c r="N66" i="44"/>
  <c r="L66" i="44"/>
  <c r="N65" i="44"/>
  <c r="L65" i="44"/>
  <c r="N64" i="44"/>
  <c r="L64" i="44"/>
  <c r="N63" i="44"/>
  <c r="L63" i="44"/>
  <c r="N62" i="44"/>
  <c r="L62" i="44"/>
  <c r="N61" i="44"/>
  <c r="L61" i="44"/>
  <c r="N60" i="44"/>
  <c r="L60" i="44"/>
  <c r="N59" i="44"/>
  <c r="L59" i="44"/>
  <c r="N58" i="44"/>
  <c r="L58" i="44"/>
  <c r="N57" i="44"/>
  <c r="L57" i="44"/>
  <c r="N56" i="44"/>
  <c r="L56" i="44"/>
  <c r="N55" i="44"/>
  <c r="L55" i="44"/>
  <c r="N54" i="44"/>
  <c r="L54" i="44"/>
  <c r="N53" i="44"/>
  <c r="L53" i="44"/>
  <c r="N52" i="44"/>
  <c r="L52" i="44"/>
  <c r="N51" i="44"/>
  <c r="L51" i="44"/>
  <c r="N50" i="44"/>
  <c r="L50" i="44"/>
  <c r="N49" i="44"/>
  <c r="L49" i="44"/>
  <c r="N48" i="44"/>
  <c r="L48" i="44"/>
  <c r="N47" i="44"/>
  <c r="L47" i="44"/>
  <c r="N46" i="44"/>
  <c r="L46" i="44"/>
  <c r="N45" i="44"/>
  <c r="L45" i="44"/>
  <c r="N44" i="44"/>
  <c r="L44" i="44"/>
  <c r="N43" i="44"/>
  <c r="L43" i="44"/>
  <c r="N42" i="44"/>
  <c r="L42" i="44"/>
  <c r="N41" i="44"/>
  <c r="L41" i="44"/>
  <c r="N40" i="44"/>
  <c r="L40" i="44"/>
  <c r="N39" i="44"/>
  <c r="L39" i="44"/>
  <c r="N38" i="44"/>
  <c r="L38" i="44"/>
  <c r="N37" i="44"/>
  <c r="L37" i="44"/>
  <c r="N36" i="44"/>
  <c r="L36" i="44"/>
  <c r="N35" i="44"/>
  <c r="L35" i="44"/>
  <c r="N34" i="44"/>
  <c r="L34" i="44"/>
  <c r="N33" i="44"/>
  <c r="L33" i="44"/>
  <c r="N32" i="44"/>
  <c r="L32" i="44"/>
  <c r="N31" i="44"/>
  <c r="L31" i="44"/>
  <c r="N30" i="44"/>
  <c r="L30" i="44"/>
  <c r="N29" i="44"/>
  <c r="L29" i="44"/>
  <c r="N28" i="44"/>
  <c r="L28" i="44"/>
  <c r="N27" i="44"/>
  <c r="L27" i="44"/>
  <c r="N26" i="44"/>
  <c r="L26" i="44"/>
  <c r="N25" i="44"/>
  <c r="L25" i="44"/>
  <c r="N24" i="44"/>
  <c r="L24" i="44"/>
  <c r="N21" i="44"/>
  <c r="N20" i="44"/>
  <c r="N19" i="44"/>
  <c r="N18" i="44"/>
  <c r="N17" i="44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1" i="44"/>
  <c r="I11" i="44"/>
  <c r="D90" i="44"/>
  <c r="P1" i="44"/>
  <c r="P83" i="44" s="1"/>
  <c r="P154" i="43"/>
  <c r="O154" i="43"/>
  <c r="M154" i="43"/>
  <c r="J154" i="43"/>
  <c r="P153" i="43"/>
  <c r="O153" i="43"/>
  <c r="M153" i="43"/>
  <c r="J153" i="43"/>
  <c r="P152" i="43"/>
  <c r="O152" i="43"/>
  <c r="M152" i="43"/>
  <c r="J152" i="43"/>
  <c r="P151" i="43"/>
  <c r="O151" i="43"/>
  <c r="M151" i="43"/>
  <c r="J151" i="43"/>
  <c r="P150" i="43"/>
  <c r="O150" i="43"/>
  <c r="M150" i="43"/>
  <c r="J150" i="43"/>
  <c r="P149" i="43"/>
  <c r="O149" i="43"/>
  <c r="M149" i="43"/>
  <c r="J149" i="43"/>
  <c r="P148" i="43"/>
  <c r="O148" i="43"/>
  <c r="M148" i="43"/>
  <c r="J148" i="43"/>
  <c r="P147" i="43"/>
  <c r="O147" i="43"/>
  <c r="M147" i="43"/>
  <c r="J147" i="43"/>
  <c r="P146" i="43"/>
  <c r="O146" i="43"/>
  <c r="M146" i="43"/>
  <c r="J146" i="43"/>
  <c r="P145" i="43"/>
  <c r="O145" i="43"/>
  <c r="M145" i="43"/>
  <c r="J145" i="43"/>
  <c r="P144" i="43"/>
  <c r="O144" i="43"/>
  <c r="M144" i="43"/>
  <c r="J144" i="43"/>
  <c r="P143" i="43"/>
  <c r="O143" i="43"/>
  <c r="M143" i="43"/>
  <c r="J143" i="43"/>
  <c r="P142" i="43"/>
  <c r="O142" i="43"/>
  <c r="M142" i="43"/>
  <c r="J142" i="43"/>
  <c r="P141" i="43"/>
  <c r="O141" i="43"/>
  <c r="M141" i="43"/>
  <c r="J141" i="43"/>
  <c r="P140" i="43"/>
  <c r="O140" i="43"/>
  <c r="M140" i="43"/>
  <c r="J140" i="43"/>
  <c r="P139" i="43"/>
  <c r="O139" i="43"/>
  <c r="M139" i="43"/>
  <c r="J139" i="43"/>
  <c r="P138" i="43"/>
  <c r="O138" i="43"/>
  <c r="M138" i="43"/>
  <c r="J138" i="43"/>
  <c r="P137" i="43"/>
  <c r="O137" i="43"/>
  <c r="M137" i="43"/>
  <c r="J137" i="43"/>
  <c r="P136" i="43"/>
  <c r="O136" i="43"/>
  <c r="M136" i="43"/>
  <c r="J136" i="43"/>
  <c r="P135" i="43"/>
  <c r="O135" i="43"/>
  <c r="M135" i="43"/>
  <c r="J135" i="43"/>
  <c r="P134" i="43"/>
  <c r="O134" i="43"/>
  <c r="M134" i="43"/>
  <c r="J134" i="43"/>
  <c r="P133" i="43"/>
  <c r="O133" i="43"/>
  <c r="M133" i="43"/>
  <c r="J133" i="43"/>
  <c r="P132" i="43"/>
  <c r="O132" i="43"/>
  <c r="M132" i="43"/>
  <c r="J132" i="43"/>
  <c r="P131" i="43"/>
  <c r="O131" i="43"/>
  <c r="M131" i="43"/>
  <c r="J131" i="43"/>
  <c r="O130" i="43"/>
  <c r="M130" i="43"/>
  <c r="O129" i="43"/>
  <c r="M129" i="43"/>
  <c r="O128" i="43"/>
  <c r="M128" i="43"/>
  <c r="O127" i="43"/>
  <c r="M127" i="43"/>
  <c r="O126" i="43"/>
  <c r="M126" i="43"/>
  <c r="O125" i="43"/>
  <c r="M125" i="43"/>
  <c r="O124" i="43"/>
  <c r="M124" i="43"/>
  <c r="O123" i="43"/>
  <c r="M123" i="43"/>
  <c r="O122" i="43"/>
  <c r="M122" i="43"/>
  <c r="O121" i="43"/>
  <c r="M121" i="43"/>
  <c r="O120" i="43"/>
  <c r="M120" i="43"/>
  <c r="O119" i="43"/>
  <c r="M119" i="43"/>
  <c r="O118" i="43"/>
  <c r="M118" i="43"/>
  <c r="O117" i="43"/>
  <c r="M117" i="43"/>
  <c r="O116" i="43"/>
  <c r="M116" i="43"/>
  <c r="O115" i="43"/>
  <c r="M115" i="43"/>
  <c r="O114" i="43"/>
  <c r="M114" i="43"/>
  <c r="O113" i="43"/>
  <c r="M113" i="43"/>
  <c r="O112" i="43"/>
  <c r="M112" i="43"/>
  <c r="O111" i="43"/>
  <c r="M111" i="43"/>
  <c r="O110" i="43"/>
  <c r="M110" i="43"/>
  <c r="O109" i="43"/>
  <c r="M109" i="43"/>
  <c r="O108" i="43"/>
  <c r="M108" i="43"/>
  <c r="O107" i="43"/>
  <c r="M107" i="43"/>
  <c r="O106" i="43"/>
  <c r="M106" i="43"/>
  <c r="O102" i="43"/>
  <c r="O101" i="43"/>
  <c r="O100" i="43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D96" i="43"/>
  <c r="L93" i="43"/>
  <c r="J93" i="43"/>
  <c r="D91" i="43"/>
  <c r="D89" i="43"/>
  <c r="N72" i="43"/>
  <c r="L72" i="43"/>
  <c r="N71" i="43"/>
  <c r="L71" i="43"/>
  <c r="N70" i="43"/>
  <c r="L70" i="43"/>
  <c r="N69" i="43"/>
  <c r="L69" i="43"/>
  <c r="N68" i="43"/>
  <c r="L68" i="43"/>
  <c r="N67" i="43"/>
  <c r="L67" i="43"/>
  <c r="N66" i="43"/>
  <c r="L66" i="43"/>
  <c r="N65" i="43"/>
  <c r="L65" i="43"/>
  <c r="N64" i="43"/>
  <c r="L64" i="43"/>
  <c r="N63" i="43"/>
  <c r="L63" i="43"/>
  <c r="N62" i="43"/>
  <c r="L62" i="43"/>
  <c r="N61" i="43"/>
  <c r="L61" i="43"/>
  <c r="N60" i="43"/>
  <c r="L60" i="43"/>
  <c r="N59" i="43"/>
  <c r="L59" i="43"/>
  <c r="N58" i="43"/>
  <c r="L58" i="43"/>
  <c r="N57" i="43"/>
  <c r="L57" i="43"/>
  <c r="N56" i="43"/>
  <c r="L56" i="43"/>
  <c r="N55" i="43"/>
  <c r="L55" i="43"/>
  <c r="N54" i="43"/>
  <c r="L54" i="43"/>
  <c r="N53" i="43"/>
  <c r="L53" i="43"/>
  <c r="N52" i="43"/>
  <c r="L52" i="43"/>
  <c r="N51" i="43"/>
  <c r="L51" i="43"/>
  <c r="N50" i="43"/>
  <c r="L50" i="43"/>
  <c r="N49" i="43"/>
  <c r="L49" i="43"/>
  <c r="N48" i="43"/>
  <c r="L48" i="43"/>
  <c r="N47" i="43"/>
  <c r="L47" i="43"/>
  <c r="N46" i="43"/>
  <c r="L46" i="43"/>
  <c r="N45" i="43"/>
  <c r="L45" i="43"/>
  <c r="N44" i="43"/>
  <c r="L44" i="43"/>
  <c r="N43" i="43"/>
  <c r="L43" i="43"/>
  <c r="N42" i="43"/>
  <c r="L42" i="43"/>
  <c r="N41" i="43"/>
  <c r="L41" i="43"/>
  <c r="N40" i="43"/>
  <c r="L40" i="43"/>
  <c r="N39" i="43"/>
  <c r="L39" i="43"/>
  <c r="N38" i="43"/>
  <c r="L38" i="43"/>
  <c r="N37" i="43"/>
  <c r="L37" i="43"/>
  <c r="N36" i="43"/>
  <c r="L36" i="43"/>
  <c r="N35" i="43"/>
  <c r="L35" i="43"/>
  <c r="N34" i="43"/>
  <c r="L34" i="43"/>
  <c r="N33" i="43"/>
  <c r="L33" i="43"/>
  <c r="N32" i="43"/>
  <c r="L32" i="43"/>
  <c r="N31" i="43"/>
  <c r="L31" i="43"/>
  <c r="N30" i="43"/>
  <c r="L30" i="43"/>
  <c r="N29" i="43"/>
  <c r="L29" i="43"/>
  <c r="N28" i="43"/>
  <c r="L28" i="43"/>
  <c r="N27" i="43"/>
  <c r="L27" i="43"/>
  <c r="N26" i="43"/>
  <c r="L26" i="43"/>
  <c r="N25" i="43"/>
  <c r="L25" i="43"/>
  <c r="N21" i="43"/>
  <c r="N20" i="43"/>
  <c r="N19" i="43"/>
  <c r="N18" i="43"/>
  <c r="N17" i="43"/>
  <c r="L17" i="43"/>
  <c r="C17" i="43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1" i="43"/>
  <c r="I11" i="43"/>
  <c r="D8" i="43"/>
  <c r="D90" i="43" s="1"/>
  <c r="P1" i="43"/>
  <c r="P83" i="43" s="1"/>
  <c r="M17" i="42"/>
  <c r="N17" i="42" s="1"/>
  <c r="K17" i="42"/>
  <c r="L17" i="42" s="1"/>
  <c r="M17" i="41"/>
  <c r="N17" i="41" s="1"/>
  <c r="K17" i="41"/>
  <c r="L17" i="41" s="1"/>
  <c r="M17" i="40"/>
  <c r="N17" i="40" s="1"/>
  <c r="K17" i="40"/>
  <c r="L17" i="40" s="1"/>
  <c r="N99" i="39"/>
  <c r="O99" i="39" s="1"/>
  <c r="L99" i="39"/>
  <c r="M99" i="39" s="1"/>
  <c r="M18" i="39"/>
  <c r="N18" i="39" s="1"/>
  <c r="K18" i="39"/>
  <c r="L18" i="39" s="1"/>
  <c r="N99" i="38"/>
  <c r="O99" i="38" s="1"/>
  <c r="L99" i="38"/>
  <c r="M99" i="38" s="1"/>
  <c r="M18" i="38"/>
  <c r="N18" i="38" s="1"/>
  <c r="K18" i="38"/>
  <c r="L18" i="38" s="1"/>
  <c r="N99" i="37"/>
  <c r="O99" i="37" s="1"/>
  <c r="L99" i="37"/>
  <c r="M99" i="37" s="1"/>
  <c r="M18" i="37"/>
  <c r="N18" i="37" s="1"/>
  <c r="K18" i="37"/>
  <c r="L18" i="37" s="1"/>
  <c r="N102" i="31"/>
  <c r="O102" i="31" s="1"/>
  <c r="L102" i="31"/>
  <c r="M102" i="31" s="1"/>
  <c r="M21" i="31"/>
  <c r="N21" i="31" s="1"/>
  <c r="K21" i="31"/>
  <c r="L21" i="31" s="1"/>
  <c r="N101" i="30"/>
  <c r="O101" i="30" s="1"/>
  <c r="L101" i="30"/>
  <c r="M101" i="30" s="1"/>
  <c r="M20" i="30"/>
  <c r="N20" i="30" s="1"/>
  <c r="K20" i="30"/>
  <c r="N102" i="29"/>
  <c r="O102" i="29" s="1"/>
  <c r="L102" i="29"/>
  <c r="M102" i="29" s="1"/>
  <c r="M21" i="29"/>
  <c r="N21" i="29" s="1"/>
  <c r="K21" i="29"/>
  <c r="L21" i="29" s="1"/>
  <c r="N102" i="28"/>
  <c r="O102" i="28" s="1"/>
  <c r="L102" i="28"/>
  <c r="M102" i="28" s="1"/>
  <c r="M21" i="28"/>
  <c r="N21" i="28" s="1"/>
  <c r="K21" i="28"/>
  <c r="L21" i="28" s="1"/>
  <c r="N103" i="27"/>
  <c r="O103" i="27" s="1"/>
  <c r="L103" i="27"/>
  <c r="M103" i="27" s="1"/>
  <c r="M22" i="27"/>
  <c r="N22" i="27" s="1"/>
  <c r="K22" i="27"/>
  <c r="L22" i="27" s="1"/>
  <c r="N106" i="25"/>
  <c r="O106" i="25" s="1"/>
  <c r="L106" i="25"/>
  <c r="M106" i="25" s="1"/>
  <c r="M25" i="25"/>
  <c r="N25" i="25" s="1"/>
  <c r="K25" i="25"/>
  <c r="L25" i="25" s="1"/>
  <c r="N104" i="24"/>
  <c r="O104" i="24" s="1"/>
  <c r="L104" i="24"/>
  <c r="M104" i="24" s="1"/>
  <c r="M23" i="24"/>
  <c r="N23" i="24" s="1"/>
  <c r="K23" i="24"/>
  <c r="L23" i="24" s="1"/>
  <c r="N105" i="23"/>
  <c r="O105" i="23" s="1"/>
  <c r="L105" i="23"/>
  <c r="M105" i="23" s="1"/>
  <c r="M24" i="23"/>
  <c r="N24" i="23" s="1"/>
  <c r="K24" i="23"/>
  <c r="L24" i="23" s="1"/>
  <c r="N106" i="22"/>
  <c r="O106" i="22" s="1"/>
  <c r="L106" i="22"/>
  <c r="M106" i="22" s="1"/>
  <c r="M25" i="22"/>
  <c r="N25" i="22" s="1"/>
  <c r="K25" i="22"/>
  <c r="L25" i="22" s="1"/>
  <c r="N109" i="11"/>
  <c r="O109" i="11" s="1"/>
  <c r="L109" i="11"/>
  <c r="M109" i="11" s="1"/>
  <c r="M28" i="11"/>
  <c r="N28" i="11" s="1"/>
  <c r="K28" i="11"/>
  <c r="L28" i="11" s="1"/>
  <c r="N110" i="10"/>
  <c r="O110" i="10" s="1"/>
  <c r="L110" i="10"/>
  <c r="M110" i="10" s="1"/>
  <c r="M29" i="10"/>
  <c r="N29" i="10" s="1"/>
  <c r="K29" i="10"/>
  <c r="L29" i="10" s="1"/>
  <c r="N109" i="9"/>
  <c r="O109" i="9" s="1"/>
  <c r="L109" i="9"/>
  <c r="M109" i="9" s="1"/>
  <c r="M28" i="9"/>
  <c r="N28" i="9" s="1"/>
  <c r="K28" i="9"/>
  <c r="L28" i="9" s="1"/>
  <c r="N108" i="8"/>
  <c r="O108" i="8" s="1"/>
  <c r="L108" i="8"/>
  <c r="M108" i="8" s="1"/>
  <c r="M27" i="8"/>
  <c r="N27" i="8" s="1"/>
  <c r="K27" i="8"/>
  <c r="L27" i="8" s="1"/>
  <c r="N110" i="7"/>
  <c r="O110" i="7" s="1"/>
  <c r="L110" i="7"/>
  <c r="M110" i="7" s="1"/>
  <c r="M29" i="7"/>
  <c r="N29" i="7" s="1"/>
  <c r="K29" i="7"/>
  <c r="L29" i="7" s="1"/>
  <c r="N108" i="6"/>
  <c r="O108" i="6" s="1"/>
  <c r="L108" i="6"/>
  <c r="M108" i="6" s="1"/>
  <c r="M27" i="6"/>
  <c r="N27" i="6" s="1"/>
  <c r="K27" i="6"/>
  <c r="L27" i="6" s="1"/>
  <c r="N107" i="5"/>
  <c r="O107" i="5" s="1"/>
  <c r="L107" i="5"/>
  <c r="M107" i="5" s="1"/>
  <c r="M26" i="5"/>
  <c r="N26" i="5" s="1"/>
  <c r="K26" i="5"/>
  <c r="L26" i="5" s="1"/>
  <c r="N107" i="4"/>
  <c r="O107" i="4" s="1"/>
  <c r="L107" i="4"/>
  <c r="M107" i="4" s="1"/>
  <c r="M26" i="4"/>
  <c r="N26" i="4" s="1"/>
  <c r="K26" i="4"/>
  <c r="L26" i="4" s="1"/>
  <c r="N107" i="3"/>
  <c r="O107" i="3" s="1"/>
  <c r="L107" i="3"/>
  <c r="M107" i="3" s="1"/>
  <c r="M26" i="3"/>
  <c r="N26" i="3" s="1"/>
  <c r="K26" i="3"/>
  <c r="L26" i="3" s="1"/>
  <c r="U2" i="17"/>
  <c r="M26" i="6"/>
  <c r="N26" i="6" s="1"/>
  <c r="K26" i="6"/>
  <c r="L26" i="6" s="1"/>
  <c r="M17" i="38"/>
  <c r="N17" i="38" s="1"/>
  <c r="K17" i="38"/>
  <c r="L17" i="38" s="1"/>
  <c r="M17" i="39"/>
  <c r="N17" i="39" s="1"/>
  <c r="K17" i="39"/>
  <c r="L17" i="39" s="1"/>
  <c r="N101" i="31"/>
  <c r="O101" i="31" s="1"/>
  <c r="L101" i="31"/>
  <c r="M101" i="31" s="1"/>
  <c r="M20" i="31"/>
  <c r="N20" i="31" s="1"/>
  <c r="K20" i="31"/>
  <c r="L20" i="31" s="1"/>
  <c r="M17" i="37"/>
  <c r="N17" i="37" s="1"/>
  <c r="K17" i="37"/>
  <c r="L17" i="37" s="1"/>
  <c r="W41" i="17"/>
  <c r="P41" i="17"/>
  <c r="W40" i="17"/>
  <c r="P40" i="17"/>
  <c r="M19" i="30"/>
  <c r="N19" i="30" s="1"/>
  <c r="K19" i="30"/>
  <c r="L19" i="30" s="1"/>
  <c r="N100" i="30"/>
  <c r="O100" i="30" s="1"/>
  <c r="L100" i="30"/>
  <c r="M100" i="30" s="1"/>
  <c r="M20" i="29"/>
  <c r="N20" i="29" s="1"/>
  <c r="K20" i="29"/>
  <c r="L20" i="29" s="1"/>
  <c r="N101" i="29"/>
  <c r="O101" i="29" s="1"/>
  <c r="L101" i="29"/>
  <c r="M101" i="29" s="1"/>
  <c r="N101" i="28"/>
  <c r="O101" i="28" s="1"/>
  <c r="L101" i="28"/>
  <c r="M101" i="28" s="1"/>
  <c r="M20" i="28"/>
  <c r="N20" i="28" s="1"/>
  <c r="K20" i="28"/>
  <c r="L20" i="28" s="1"/>
  <c r="N102" i="27"/>
  <c r="O102" i="27" s="1"/>
  <c r="L102" i="27"/>
  <c r="M102" i="27" s="1"/>
  <c r="M21" i="27"/>
  <c r="N21" i="27" s="1"/>
  <c r="K21" i="27"/>
  <c r="L21" i="27" s="1"/>
  <c r="N105" i="25"/>
  <c r="O105" i="25" s="1"/>
  <c r="L105" i="25"/>
  <c r="M105" i="25" s="1"/>
  <c r="M24" i="25"/>
  <c r="N24" i="25" s="1"/>
  <c r="K24" i="25"/>
  <c r="L24" i="25" s="1"/>
  <c r="N103" i="24"/>
  <c r="O103" i="24" s="1"/>
  <c r="L103" i="24"/>
  <c r="M103" i="24" s="1"/>
  <c r="M22" i="24"/>
  <c r="N22" i="24" s="1"/>
  <c r="K22" i="24"/>
  <c r="L22" i="24" s="1"/>
  <c r="N104" i="23"/>
  <c r="O104" i="23" s="1"/>
  <c r="L104" i="23"/>
  <c r="M104" i="23" s="1"/>
  <c r="M23" i="23"/>
  <c r="N23" i="23" s="1"/>
  <c r="K23" i="23"/>
  <c r="L23" i="23" s="1"/>
  <c r="N105" i="22"/>
  <c r="O105" i="22" s="1"/>
  <c r="L105" i="22"/>
  <c r="M105" i="22" s="1"/>
  <c r="M24" i="22"/>
  <c r="N24" i="22" s="1"/>
  <c r="K24" i="22"/>
  <c r="L24" i="22" s="1"/>
  <c r="N108" i="11"/>
  <c r="O108" i="11" s="1"/>
  <c r="L108" i="11"/>
  <c r="M108" i="11" s="1"/>
  <c r="M27" i="11"/>
  <c r="N27" i="11" s="1"/>
  <c r="K27" i="11"/>
  <c r="L27" i="11" s="1"/>
  <c r="N109" i="10"/>
  <c r="O109" i="10" s="1"/>
  <c r="L109" i="10"/>
  <c r="M109" i="10" s="1"/>
  <c r="M28" i="10"/>
  <c r="N28" i="10" s="1"/>
  <c r="K28" i="10"/>
  <c r="L28" i="10" s="1"/>
  <c r="N108" i="9"/>
  <c r="O108" i="9" s="1"/>
  <c r="L108" i="9"/>
  <c r="M108" i="9" s="1"/>
  <c r="M27" i="9"/>
  <c r="N27" i="9" s="1"/>
  <c r="K27" i="9"/>
  <c r="L27" i="9" s="1"/>
  <c r="N107" i="8"/>
  <c r="O107" i="8" s="1"/>
  <c r="L107" i="8"/>
  <c r="M107" i="8" s="1"/>
  <c r="M26" i="8"/>
  <c r="N26" i="8" s="1"/>
  <c r="K26" i="8"/>
  <c r="L26" i="8" s="1"/>
  <c r="N109" i="7"/>
  <c r="O109" i="7" s="1"/>
  <c r="L109" i="7"/>
  <c r="M109" i="7" s="1"/>
  <c r="M28" i="7"/>
  <c r="N28" i="7" s="1"/>
  <c r="K28" i="7"/>
  <c r="L28" i="7" s="1"/>
  <c r="N107" i="6"/>
  <c r="O107" i="6" s="1"/>
  <c r="L107" i="6"/>
  <c r="M107" i="6" s="1"/>
  <c r="N106" i="5"/>
  <c r="O106" i="5" s="1"/>
  <c r="L106" i="5"/>
  <c r="M106" i="5" s="1"/>
  <c r="M25" i="5"/>
  <c r="N25" i="5" s="1"/>
  <c r="K25" i="5"/>
  <c r="L25" i="5" s="1"/>
  <c r="N106" i="4"/>
  <c r="O106" i="4" s="1"/>
  <c r="L106" i="4"/>
  <c r="M106" i="4" s="1"/>
  <c r="M25" i="4"/>
  <c r="N25" i="4" s="1"/>
  <c r="K25" i="4"/>
  <c r="L25" i="4" s="1"/>
  <c r="N106" i="3"/>
  <c r="O106" i="3" s="1"/>
  <c r="L106" i="3"/>
  <c r="M106" i="3" s="1"/>
  <c r="M25" i="3"/>
  <c r="N25" i="3" s="1"/>
  <c r="K25" i="3"/>
  <c r="L25" i="3" s="1"/>
  <c r="P154" i="42"/>
  <c r="O154" i="42"/>
  <c r="M154" i="42"/>
  <c r="J154" i="42"/>
  <c r="P153" i="42"/>
  <c r="O153" i="42"/>
  <c r="M153" i="42"/>
  <c r="J153" i="42"/>
  <c r="P152" i="42"/>
  <c r="O152" i="42"/>
  <c r="M152" i="42"/>
  <c r="J152" i="42"/>
  <c r="P151" i="42"/>
  <c r="O151" i="42"/>
  <c r="M151" i="42"/>
  <c r="J151" i="42"/>
  <c r="P150" i="42"/>
  <c r="O150" i="42"/>
  <c r="M150" i="42"/>
  <c r="J150" i="42"/>
  <c r="P149" i="42"/>
  <c r="O149" i="42"/>
  <c r="M149" i="42"/>
  <c r="J149" i="42"/>
  <c r="P148" i="42"/>
  <c r="O148" i="42"/>
  <c r="M148" i="42"/>
  <c r="J148" i="42"/>
  <c r="P147" i="42"/>
  <c r="O147" i="42"/>
  <c r="M147" i="42"/>
  <c r="J147" i="42"/>
  <c r="P146" i="42"/>
  <c r="O146" i="42"/>
  <c r="M146" i="42"/>
  <c r="J146" i="42"/>
  <c r="P145" i="42"/>
  <c r="O145" i="42"/>
  <c r="M145" i="42"/>
  <c r="J145" i="42"/>
  <c r="P144" i="42"/>
  <c r="O144" i="42"/>
  <c r="M144" i="42"/>
  <c r="J144" i="42"/>
  <c r="P143" i="42"/>
  <c r="O143" i="42"/>
  <c r="M143" i="42"/>
  <c r="J143" i="42"/>
  <c r="P142" i="42"/>
  <c r="O142" i="42"/>
  <c r="M142" i="42"/>
  <c r="J142" i="42"/>
  <c r="P141" i="42"/>
  <c r="O141" i="42"/>
  <c r="M141" i="42"/>
  <c r="J141" i="42"/>
  <c r="P140" i="42"/>
  <c r="O140" i="42"/>
  <c r="M140" i="42"/>
  <c r="J140" i="42"/>
  <c r="P139" i="42"/>
  <c r="O139" i="42"/>
  <c r="M139" i="42"/>
  <c r="J139" i="42"/>
  <c r="P138" i="42"/>
  <c r="O138" i="42"/>
  <c r="M138" i="42"/>
  <c r="J138" i="42"/>
  <c r="P137" i="42"/>
  <c r="O137" i="42"/>
  <c r="M137" i="42"/>
  <c r="J137" i="42"/>
  <c r="P136" i="42"/>
  <c r="O136" i="42"/>
  <c r="M136" i="42"/>
  <c r="J136" i="42"/>
  <c r="P135" i="42"/>
  <c r="O135" i="42"/>
  <c r="M135" i="42"/>
  <c r="J135" i="42"/>
  <c r="P134" i="42"/>
  <c r="O134" i="42"/>
  <c r="M134" i="42"/>
  <c r="J134" i="42"/>
  <c r="P133" i="42"/>
  <c r="O133" i="42"/>
  <c r="M133" i="42"/>
  <c r="J133" i="42"/>
  <c r="P132" i="42"/>
  <c r="O132" i="42"/>
  <c r="M132" i="42"/>
  <c r="J132" i="42"/>
  <c r="P131" i="42"/>
  <c r="O131" i="42"/>
  <c r="M131" i="42"/>
  <c r="J131" i="42"/>
  <c r="O130" i="42"/>
  <c r="M130" i="42"/>
  <c r="O129" i="42"/>
  <c r="M129" i="42"/>
  <c r="O128" i="42"/>
  <c r="M128" i="42"/>
  <c r="O127" i="42"/>
  <c r="M127" i="42"/>
  <c r="O126" i="42"/>
  <c r="M126" i="42"/>
  <c r="O125" i="42"/>
  <c r="M125" i="42"/>
  <c r="O124" i="42"/>
  <c r="M124" i="42"/>
  <c r="O123" i="42"/>
  <c r="M123" i="42"/>
  <c r="O122" i="42"/>
  <c r="M122" i="42"/>
  <c r="O121" i="42"/>
  <c r="M121" i="42"/>
  <c r="O120" i="42"/>
  <c r="M120" i="42"/>
  <c r="O119" i="42"/>
  <c r="M119" i="42"/>
  <c r="O118" i="42"/>
  <c r="M118" i="42"/>
  <c r="O117" i="42"/>
  <c r="M117" i="42"/>
  <c r="O116" i="42"/>
  <c r="M116" i="42"/>
  <c r="O115" i="42"/>
  <c r="M115" i="42"/>
  <c r="O114" i="42"/>
  <c r="M114" i="42"/>
  <c r="O113" i="42"/>
  <c r="M113" i="42"/>
  <c r="O112" i="42"/>
  <c r="M112" i="42"/>
  <c r="O111" i="42"/>
  <c r="M111" i="42"/>
  <c r="O110" i="42"/>
  <c r="M110" i="42"/>
  <c r="O109" i="42"/>
  <c r="M109" i="42"/>
  <c r="O108" i="42"/>
  <c r="M108" i="42"/>
  <c r="O107" i="42"/>
  <c r="M107" i="42"/>
  <c r="O106" i="42"/>
  <c r="M106" i="42"/>
  <c r="O102" i="42"/>
  <c r="O101" i="42"/>
  <c r="O100" i="42"/>
  <c r="C99" i="42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6" i="42"/>
  <c r="L93" i="42"/>
  <c r="J93" i="42"/>
  <c r="D91" i="42"/>
  <c r="D89" i="42"/>
  <c r="N72" i="42"/>
  <c r="L72" i="42"/>
  <c r="N71" i="42"/>
  <c r="L71" i="42"/>
  <c r="N70" i="42"/>
  <c r="L70" i="42"/>
  <c r="N69" i="42"/>
  <c r="L69" i="42"/>
  <c r="N68" i="42"/>
  <c r="L68" i="42"/>
  <c r="N67" i="42"/>
  <c r="L67" i="42"/>
  <c r="N66" i="42"/>
  <c r="L66" i="42"/>
  <c r="N65" i="42"/>
  <c r="L65" i="42"/>
  <c r="N64" i="42"/>
  <c r="L64" i="42"/>
  <c r="N63" i="42"/>
  <c r="L63" i="42"/>
  <c r="N62" i="42"/>
  <c r="L62" i="42"/>
  <c r="N61" i="42"/>
  <c r="L61" i="42"/>
  <c r="N60" i="42"/>
  <c r="L60" i="42"/>
  <c r="N59" i="42"/>
  <c r="L59" i="42"/>
  <c r="N58" i="42"/>
  <c r="L58" i="42"/>
  <c r="N57" i="42"/>
  <c r="L57" i="42"/>
  <c r="N56" i="42"/>
  <c r="L56" i="42"/>
  <c r="N55" i="42"/>
  <c r="L55" i="42"/>
  <c r="N54" i="42"/>
  <c r="L54" i="42"/>
  <c r="N53" i="42"/>
  <c r="L53" i="42"/>
  <c r="N52" i="42"/>
  <c r="L52" i="42"/>
  <c r="N51" i="42"/>
  <c r="L51" i="42"/>
  <c r="N50" i="42"/>
  <c r="L50" i="42"/>
  <c r="N49" i="42"/>
  <c r="L49" i="42"/>
  <c r="N48" i="42"/>
  <c r="L48" i="42"/>
  <c r="N47" i="42"/>
  <c r="L47" i="42"/>
  <c r="N46" i="42"/>
  <c r="L46" i="42"/>
  <c r="N45" i="42"/>
  <c r="L45" i="42"/>
  <c r="N44" i="42"/>
  <c r="L44" i="42"/>
  <c r="N43" i="42"/>
  <c r="L43" i="42"/>
  <c r="N42" i="42"/>
  <c r="L42" i="42"/>
  <c r="N41" i="42"/>
  <c r="L41" i="42"/>
  <c r="N40" i="42"/>
  <c r="L40" i="42"/>
  <c r="N39" i="42"/>
  <c r="L39" i="42"/>
  <c r="N38" i="42"/>
  <c r="L38" i="42"/>
  <c r="N37" i="42"/>
  <c r="L37" i="42"/>
  <c r="N36" i="42"/>
  <c r="L36" i="42"/>
  <c r="N35" i="42"/>
  <c r="L35" i="42"/>
  <c r="N34" i="42"/>
  <c r="L34" i="42"/>
  <c r="N33" i="42"/>
  <c r="L33" i="42"/>
  <c r="N32" i="42"/>
  <c r="L32" i="42"/>
  <c r="N31" i="42"/>
  <c r="L31" i="42"/>
  <c r="N30" i="42"/>
  <c r="L30" i="42"/>
  <c r="N29" i="42"/>
  <c r="L29" i="42"/>
  <c r="N28" i="42"/>
  <c r="L28" i="42"/>
  <c r="N27" i="42"/>
  <c r="L27" i="42"/>
  <c r="N26" i="42"/>
  <c r="L26" i="42"/>
  <c r="N25" i="42"/>
  <c r="L25" i="42"/>
  <c r="N21" i="42"/>
  <c r="N20" i="42"/>
  <c r="N19" i="42"/>
  <c r="N18" i="42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K11" i="42"/>
  <c r="I11" i="42"/>
  <c r="D8" i="42"/>
  <c r="D90" i="42" s="1"/>
  <c r="P1" i="42"/>
  <c r="P83" i="42" s="1"/>
  <c r="P154" i="41"/>
  <c r="O154" i="41"/>
  <c r="M154" i="41"/>
  <c r="J154" i="41"/>
  <c r="P153" i="41"/>
  <c r="O153" i="41"/>
  <c r="M153" i="41"/>
  <c r="J153" i="41"/>
  <c r="P152" i="41"/>
  <c r="O152" i="41"/>
  <c r="M152" i="41"/>
  <c r="J152" i="41"/>
  <c r="P151" i="41"/>
  <c r="O151" i="41"/>
  <c r="M151" i="41"/>
  <c r="J151" i="41"/>
  <c r="P150" i="41"/>
  <c r="O150" i="41"/>
  <c r="M150" i="41"/>
  <c r="J150" i="41"/>
  <c r="P149" i="41"/>
  <c r="O149" i="41"/>
  <c r="M149" i="41"/>
  <c r="J149" i="41"/>
  <c r="P148" i="41"/>
  <c r="O148" i="41"/>
  <c r="M148" i="41"/>
  <c r="J148" i="41"/>
  <c r="P147" i="41"/>
  <c r="O147" i="41"/>
  <c r="M147" i="41"/>
  <c r="J147" i="41"/>
  <c r="P146" i="41"/>
  <c r="O146" i="41"/>
  <c r="M146" i="41"/>
  <c r="J146" i="41"/>
  <c r="P145" i="41"/>
  <c r="O145" i="41"/>
  <c r="M145" i="41"/>
  <c r="J145" i="41"/>
  <c r="P144" i="41"/>
  <c r="O144" i="41"/>
  <c r="M144" i="41"/>
  <c r="J144" i="41"/>
  <c r="P143" i="41"/>
  <c r="O143" i="41"/>
  <c r="M143" i="41"/>
  <c r="J143" i="41"/>
  <c r="P142" i="41"/>
  <c r="O142" i="41"/>
  <c r="M142" i="41"/>
  <c r="J142" i="41"/>
  <c r="P141" i="41"/>
  <c r="O141" i="41"/>
  <c r="M141" i="41"/>
  <c r="J141" i="41"/>
  <c r="P140" i="41"/>
  <c r="O140" i="41"/>
  <c r="M140" i="41"/>
  <c r="J140" i="41"/>
  <c r="P139" i="41"/>
  <c r="O139" i="41"/>
  <c r="M139" i="41"/>
  <c r="J139" i="41"/>
  <c r="P138" i="41"/>
  <c r="O138" i="41"/>
  <c r="M138" i="41"/>
  <c r="J138" i="41"/>
  <c r="P137" i="41"/>
  <c r="O137" i="41"/>
  <c r="M137" i="41"/>
  <c r="J137" i="41"/>
  <c r="P136" i="41"/>
  <c r="O136" i="41"/>
  <c r="M136" i="41"/>
  <c r="J136" i="41"/>
  <c r="P135" i="41"/>
  <c r="O135" i="41"/>
  <c r="M135" i="41"/>
  <c r="J135" i="41"/>
  <c r="P134" i="41"/>
  <c r="O134" i="41"/>
  <c r="M134" i="41"/>
  <c r="J134" i="41"/>
  <c r="P133" i="41"/>
  <c r="O133" i="41"/>
  <c r="M133" i="41"/>
  <c r="J133" i="41"/>
  <c r="P132" i="41"/>
  <c r="O132" i="41"/>
  <c r="M132" i="41"/>
  <c r="J132" i="41"/>
  <c r="P131" i="41"/>
  <c r="O131" i="41"/>
  <c r="M131" i="41"/>
  <c r="J131" i="41"/>
  <c r="O130" i="41"/>
  <c r="M130" i="41"/>
  <c r="O129" i="41"/>
  <c r="M129" i="41"/>
  <c r="O128" i="41"/>
  <c r="M128" i="41"/>
  <c r="O127" i="41"/>
  <c r="M127" i="41"/>
  <c r="O126" i="41"/>
  <c r="M126" i="41"/>
  <c r="O125" i="41"/>
  <c r="M125" i="41"/>
  <c r="O124" i="41"/>
  <c r="M124" i="41"/>
  <c r="O123" i="41"/>
  <c r="M123" i="41"/>
  <c r="O122" i="41"/>
  <c r="M122" i="41"/>
  <c r="O121" i="41"/>
  <c r="M121" i="41"/>
  <c r="O120" i="41"/>
  <c r="M120" i="41"/>
  <c r="O119" i="41"/>
  <c r="M119" i="41"/>
  <c r="O118" i="41"/>
  <c r="M118" i="41"/>
  <c r="O117" i="41"/>
  <c r="M117" i="41"/>
  <c r="O116" i="41"/>
  <c r="M116" i="41"/>
  <c r="O115" i="41"/>
  <c r="M115" i="41"/>
  <c r="O114" i="41"/>
  <c r="M114" i="41"/>
  <c r="O113" i="41"/>
  <c r="M113" i="41"/>
  <c r="O112" i="41"/>
  <c r="M112" i="41"/>
  <c r="O111" i="41"/>
  <c r="M111" i="41"/>
  <c r="O110" i="41"/>
  <c r="M110" i="41"/>
  <c r="O109" i="41"/>
  <c r="M109" i="41"/>
  <c r="O108" i="41"/>
  <c r="M108" i="41"/>
  <c r="O107" i="41"/>
  <c r="M107" i="41"/>
  <c r="O106" i="41"/>
  <c r="M106" i="41"/>
  <c r="O102" i="41"/>
  <c r="O101" i="41"/>
  <c r="O100" i="41"/>
  <c r="C99" i="4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6" i="41"/>
  <c r="L93" i="41"/>
  <c r="J93" i="41"/>
  <c r="D91" i="41"/>
  <c r="D89" i="41"/>
  <c r="N72" i="41"/>
  <c r="L72" i="41"/>
  <c r="N71" i="41"/>
  <c r="L71" i="41"/>
  <c r="N70" i="41"/>
  <c r="L70" i="41"/>
  <c r="N69" i="41"/>
  <c r="L69" i="41"/>
  <c r="N68" i="41"/>
  <c r="L68" i="41"/>
  <c r="N67" i="41"/>
  <c r="L67" i="41"/>
  <c r="N66" i="41"/>
  <c r="L66" i="41"/>
  <c r="N65" i="41"/>
  <c r="L65" i="41"/>
  <c r="N64" i="41"/>
  <c r="L64" i="41"/>
  <c r="N63" i="41"/>
  <c r="L63" i="41"/>
  <c r="N62" i="41"/>
  <c r="L62" i="41"/>
  <c r="N61" i="41"/>
  <c r="L61" i="41"/>
  <c r="N60" i="41"/>
  <c r="L60" i="41"/>
  <c r="N59" i="41"/>
  <c r="L59" i="41"/>
  <c r="N58" i="41"/>
  <c r="L58" i="41"/>
  <c r="N57" i="41"/>
  <c r="L57" i="41"/>
  <c r="N56" i="41"/>
  <c r="L56" i="41"/>
  <c r="N55" i="41"/>
  <c r="L55" i="41"/>
  <c r="N54" i="41"/>
  <c r="L54" i="41"/>
  <c r="N53" i="41"/>
  <c r="L53" i="41"/>
  <c r="N52" i="41"/>
  <c r="L52" i="41"/>
  <c r="N51" i="41"/>
  <c r="L51" i="41"/>
  <c r="N50" i="41"/>
  <c r="L50" i="41"/>
  <c r="N49" i="41"/>
  <c r="L49" i="41"/>
  <c r="N48" i="41"/>
  <c r="L48" i="41"/>
  <c r="N47" i="41"/>
  <c r="L47" i="41"/>
  <c r="N46" i="41"/>
  <c r="L46" i="41"/>
  <c r="N45" i="41"/>
  <c r="L45" i="41"/>
  <c r="N44" i="41"/>
  <c r="L44" i="41"/>
  <c r="N43" i="41"/>
  <c r="L43" i="41"/>
  <c r="N42" i="41"/>
  <c r="L42" i="41"/>
  <c r="N41" i="41"/>
  <c r="L41" i="41"/>
  <c r="N40" i="41"/>
  <c r="L40" i="41"/>
  <c r="N39" i="41"/>
  <c r="L39" i="41"/>
  <c r="N38" i="41"/>
  <c r="L38" i="41"/>
  <c r="N37" i="41"/>
  <c r="L37" i="41"/>
  <c r="N36" i="41"/>
  <c r="L36" i="41"/>
  <c r="N35" i="41"/>
  <c r="L35" i="41"/>
  <c r="N34" i="41"/>
  <c r="L34" i="41"/>
  <c r="N33" i="41"/>
  <c r="L33" i="41"/>
  <c r="N32" i="41"/>
  <c r="L32" i="41"/>
  <c r="N31" i="41"/>
  <c r="L31" i="41"/>
  <c r="N30" i="41"/>
  <c r="L30" i="41"/>
  <c r="N29" i="41"/>
  <c r="L29" i="41"/>
  <c r="N28" i="41"/>
  <c r="L28" i="41"/>
  <c r="N27" i="41"/>
  <c r="L27" i="41"/>
  <c r="N26" i="41"/>
  <c r="L26" i="41"/>
  <c r="N25" i="41"/>
  <c r="L25" i="41"/>
  <c r="N22" i="41"/>
  <c r="N21" i="41"/>
  <c r="N20" i="41"/>
  <c r="N19" i="41"/>
  <c r="N18" i="41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K11" i="41"/>
  <c r="I11" i="41"/>
  <c r="D8" i="41"/>
  <c r="D90" i="41" s="1"/>
  <c r="P1" i="41"/>
  <c r="P83" i="41" s="1"/>
  <c r="F66" i="2"/>
  <c r="C66" i="2"/>
  <c r="E17" i="1"/>
  <c r="F13" i="1"/>
  <c r="C80" i="1" s="1"/>
  <c r="C81" i="1"/>
  <c r="C75" i="1"/>
  <c r="C64" i="1"/>
  <c r="C58" i="1"/>
  <c r="C47" i="1"/>
  <c r="C46" i="1"/>
  <c r="C45" i="1"/>
  <c r="C34" i="1"/>
  <c r="C31" i="1"/>
  <c r="C24" i="1"/>
  <c r="E17" i="13"/>
  <c r="J92" i="45"/>
  <c r="N100" i="31"/>
  <c r="O100" i="31" s="1"/>
  <c r="L100" i="31"/>
  <c r="M100" i="31" s="1"/>
  <c r="M19" i="31"/>
  <c r="N19" i="31" s="1"/>
  <c r="K19" i="31"/>
  <c r="L19" i="31" s="1"/>
  <c r="N99" i="30"/>
  <c r="O99" i="30" s="1"/>
  <c r="L99" i="30"/>
  <c r="M99" i="30" s="1"/>
  <c r="M18" i="30"/>
  <c r="N18" i="30" s="1"/>
  <c r="K18" i="30"/>
  <c r="L18" i="30" s="1"/>
  <c r="N100" i="29"/>
  <c r="O100" i="29" s="1"/>
  <c r="L100" i="29"/>
  <c r="M100" i="29" s="1"/>
  <c r="M19" i="29"/>
  <c r="N19" i="29" s="1"/>
  <c r="K19" i="29"/>
  <c r="L19" i="29" s="1"/>
  <c r="N100" i="28"/>
  <c r="O100" i="28" s="1"/>
  <c r="L100" i="28"/>
  <c r="M100" i="28" s="1"/>
  <c r="M19" i="28"/>
  <c r="N19" i="28" s="1"/>
  <c r="K19" i="28"/>
  <c r="L19" i="28" s="1"/>
  <c r="N101" i="27"/>
  <c r="O101" i="27" s="1"/>
  <c r="L101" i="27"/>
  <c r="M101" i="27" s="1"/>
  <c r="M20" i="27"/>
  <c r="N20" i="27" s="1"/>
  <c r="K20" i="27"/>
  <c r="L20" i="27" s="1"/>
  <c r="N104" i="25"/>
  <c r="O104" i="25" s="1"/>
  <c r="L104" i="25"/>
  <c r="M104" i="25" s="1"/>
  <c r="M23" i="25"/>
  <c r="N23" i="25" s="1"/>
  <c r="K23" i="25"/>
  <c r="L23" i="25" s="1"/>
  <c r="N102" i="24"/>
  <c r="O102" i="24" s="1"/>
  <c r="L102" i="24"/>
  <c r="M102" i="24" s="1"/>
  <c r="M21" i="24"/>
  <c r="N21" i="24" s="1"/>
  <c r="K21" i="24"/>
  <c r="L21" i="24" s="1"/>
  <c r="N103" i="23"/>
  <c r="O103" i="23" s="1"/>
  <c r="L103" i="23"/>
  <c r="M103" i="23" s="1"/>
  <c r="M22" i="23"/>
  <c r="N22" i="23" s="1"/>
  <c r="K22" i="23"/>
  <c r="L22" i="23" s="1"/>
  <c r="N104" i="22"/>
  <c r="O104" i="22" s="1"/>
  <c r="L104" i="22"/>
  <c r="M104" i="22" s="1"/>
  <c r="M23" i="22"/>
  <c r="N23" i="22" s="1"/>
  <c r="K23" i="22"/>
  <c r="L23" i="22" s="1"/>
  <c r="N107" i="11"/>
  <c r="O107" i="11" s="1"/>
  <c r="L107" i="11"/>
  <c r="M107" i="11" s="1"/>
  <c r="M26" i="11"/>
  <c r="N26" i="11" s="1"/>
  <c r="K26" i="11"/>
  <c r="L26" i="11" s="1"/>
  <c r="N108" i="10"/>
  <c r="O108" i="10" s="1"/>
  <c r="L108" i="10"/>
  <c r="M108" i="10" s="1"/>
  <c r="M27" i="10"/>
  <c r="N27" i="10" s="1"/>
  <c r="K27" i="10"/>
  <c r="L27" i="10" s="1"/>
  <c r="N107" i="9"/>
  <c r="O107" i="9" s="1"/>
  <c r="L107" i="9"/>
  <c r="M107" i="9" s="1"/>
  <c r="M26" i="9"/>
  <c r="N26" i="9" s="1"/>
  <c r="K26" i="9"/>
  <c r="L26" i="9" s="1"/>
  <c r="N106" i="8"/>
  <c r="O106" i="8" s="1"/>
  <c r="L106" i="8"/>
  <c r="M106" i="8" s="1"/>
  <c r="M25" i="8"/>
  <c r="N25" i="8" s="1"/>
  <c r="K25" i="8"/>
  <c r="L25" i="8" s="1"/>
  <c r="N108" i="7"/>
  <c r="O108" i="7" s="1"/>
  <c r="L108" i="7"/>
  <c r="M108" i="7" s="1"/>
  <c r="M27" i="7"/>
  <c r="N27" i="7" s="1"/>
  <c r="K27" i="7"/>
  <c r="L27" i="7" s="1"/>
  <c r="M25" i="6"/>
  <c r="N25" i="6" s="1"/>
  <c r="K25" i="6"/>
  <c r="L25" i="6" s="1"/>
  <c r="N106" i="6"/>
  <c r="O106" i="6" s="1"/>
  <c r="L106" i="6"/>
  <c r="M106" i="6" s="1"/>
  <c r="N105" i="5"/>
  <c r="O105" i="5" s="1"/>
  <c r="L105" i="5"/>
  <c r="M105" i="5" s="1"/>
  <c r="M24" i="5"/>
  <c r="N24" i="5" s="1"/>
  <c r="K24" i="5"/>
  <c r="L24" i="5" s="1"/>
  <c r="N105" i="4"/>
  <c r="O105" i="4" s="1"/>
  <c r="L105" i="4"/>
  <c r="M105" i="4" s="1"/>
  <c r="M24" i="4"/>
  <c r="N24" i="4" s="1"/>
  <c r="K24" i="4"/>
  <c r="L24" i="4" s="1"/>
  <c r="M24" i="3"/>
  <c r="N24" i="3" s="1"/>
  <c r="K24" i="3"/>
  <c r="L24" i="3" s="1"/>
  <c r="N105" i="3"/>
  <c r="O105" i="3" s="1"/>
  <c r="L105" i="3"/>
  <c r="M105" i="3" s="1"/>
  <c r="P39" i="17"/>
  <c r="P38" i="17"/>
  <c r="P37" i="17"/>
  <c r="P36" i="17"/>
  <c r="P1" i="40"/>
  <c r="P83" i="40" s="1"/>
  <c r="P1" i="39"/>
  <c r="P83" i="39" s="1"/>
  <c r="P1" i="38"/>
  <c r="P83" i="38" s="1"/>
  <c r="P1" i="37"/>
  <c r="P83" i="37" s="1"/>
  <c r="P154" i="40"/>
  <c r="O154" i="40"/>
  <c r="M154" i="40"/>
  <c r="J154" i="40"/>
  <c r="P153" i="40"/>
  <c r="O153" i="40"/>
  <c r="M153" i="40"/>
  <c r="J153" i="40"/>
  <c r="P152" i="40"/>
  <c r="O152" i="40"/>
  <c r="M152" i="40"/>
  <c r="J152" i="40"/>
  <c r="P151" i="40"/>
  <c r="O151" i="40"/>
  <c r="M151" i="40"/>
  <c r="J151" i="40"/>
  <c r="P150" i="40"/>
  <c r="O150" i="40"/>
  <c r="M150" i="40"/>
  <c r="J150" i="40"/>
  <c r="P149" i="40"/>
  <c r="O149" i="40"/>
  <c r="M149" i="40"/>
  <c r="J149" i="40"/>
  <c r="P148" i="40"/>
  <c r="O148" i="40"/>
  <c r="M148" i="40"/>
  <c r="J148" i="40"/>
  <c r="P147" i="40"/>
  <c r="O147" i="40"/>
  <c r="M147" i="40"/>
  <c r="J147" i="40"/>
  <c r="P146" i="40"/>
  <c r="O146" i="40"/>
  <c r="M146" i="40"/>
  <c r="J146" i="40"/>
  <c r="P145" i="40"/>
  <c r="O145" i="40"/>
  <c r="M145" i="40"/>
  <c r="J145" i="40"/>
  <c r="P144" i="40"/>
  <c r="O144" i="40"/>
  <c r="M144" i="40"/>
  <c r="J144" i="40"/>
  <c r="P143" i="40"/>
  <c r="O143" i="40"/>
  <c r="M143" i="40"/>
  <c r="J143" i="40"/>
  <c r="P142" i="40"/>
  <c r="O142" i="40"/>
  <c r="M142" i="40"/>
  <c r="J142" i="40"/>
  <c r="P141" i="40"/>
  <c r="O141" i="40"/>
  <c r="M141" i="40"/>
  <c r="J141" i="40"/>
  <c r="P140" i="40"/>
  <c r="O140" i="40"/>
  <c r="M140" i="40"/>
  <c r="J140" i="40"/>
  <c r="P139" i="40"/>
  <c r="O139" i="40"/>
  <c r="M139" i="40"/>
  <c r="J139" i="40"/>
  <c r="P138" i="40"/>
  <c r="O138" i="40"/>
  <c r="M138" i="40"/>
  <c r="J138" i="40"/>
  <c r="P137" i="40"/>
  <c r="O137" i="40"/>
  <c r="M137" i="40"/>
  <c r="J137" i="40"/>
  <c r="P136" i="40"/>
  <c r="O136" i="40"/>
  <c r="M136" i="40"/>
  <c r="J136" i="40"/>
  <c r="P135" i="40"/>
  <c r="O135" i="40"/>
  <c r="M135" i="40"/>
  <c r="J135" i="40"/>
  <c r="P134" i="40"/>
  <c r="O134" i="40"/>
  <c r="M134" i="40"/>
  <c r="J134" i="40"/>
  <c r="P133" i="40"/>
  <c r="O133" i="40"/>
  <c r="M133" i="40"/>
  <c r="J133" i="40"/>
  <c r="P132" i="40"/>
  <c r="O132" i="40"/>
  <c r="M132" i="40"/>
  <c r="J132" i="40"/>
  <c r="P131" i="40"/>
  <c r="O131" i="40"/>
  <c r="M131" i="40"/>
  <c r="J131" i="40"/>
  <c r="O130" i="40"/>
  <c r="M130" i="40"/>
  <c r="O129" i="40"/>
  <c r="M129" i="40"/>
  <c r="O128" i="40"/>
  <c r="M128" i="40"/>
  <c r="O127" i="40"/>
  <c r="M127" i="40"/>
  <c r="O126" i="40"/>
  <c r="M126" i="40"/>
  <c r="O125" i="40"/>
  <c r="M125" i="40"/>
  <c r="O124" i="40"/>
  <c r="M124" i="40"/>
  <c r="O123" i="40"/>
  <c r="M123" i="40"/>
  <c r="O122" i="40"/>
  <c r="M122" i="40"/>
  <c r="O121" i="40"/>
  <c r="M121" i="40"/>
  <c r="O120" i="40"/>
  <c r="M120" i="40"/>
  <c r="O119" i="40"/>
  <c r="M119" i="40"/>
  <c r="O118" i="40"/>
  <c r="M118" i="40"/>
  <c r="O117" i="40"/>
  <c r="M117" i="40"/>
  <c r="O116" i="40"/>
  <c r="M116" i="40"/>
  <c r="O115" i="40"/>
  <c r="M115" i="40"/>
  <c r="O114" i="40"/>
  <c r="M114" i="40"/>
  <c r="O113" i="40"/>
  <c r="M113" i="40"/>
  <c r="O112" i="40"/>
  <c r="M112" i="40"/>
  <c r="O111" i="40"/>
  <c r="M111" i="40"/>
  <c r="O110" i="40"/>
  <c r="M110" i="40"/>
  <c r="O109" i="40"/>
  <c r="M109" i="40"/>
  <c r="O108" i="40"/>
  <c r="M108" i="40"/>
  <c r="O107" i="40"/>
  <c r="M107" i="40"/>
  <c r="O106" i="40"/>
  <c r="M106" i="40"/>
  <c r="O102" i="40"/>
  <c r="O101" i="40"/>
  <c r="O100" i="40"/>
  <c r="D96" i="40"/>
  <c r="L93" i="40"/>
  <c r="J93" i="40"/>
  <c r="D91" i="40"/>
  <c r="D89" i="40"/>
  <c r="N72" i="40"/>
  <c r="L72" i="40"/>
  <c r="N71" i="40"/>
  <c r="L71" i="40"/>
  <c r="N70" i="40"/>
  <c r="L70" i="40"/>
  <c r="N69" i="40"/>
  <c r="L69" i="40"/>
  <c r="N68" i="40"/>
  <c r="L68" i="40"/>
  <c r="N67" i="40"/>
  <c r="L67" i="40"/>
  <c r="N66" i="40"/>
  <c r="L66" i="40"/>
  <c r="N65" i="40"/>
  <c r="L65" i="40"/>
  <c r="N64" i="40"/>
  <c r="L64" i="40"/>
  <c r="N63" i="40"/>
  <c r="L63" i="40"/>
  <c r="N62" i="40"/>
  <c r="L62" i="40"/>
  <c r="N61" i="40"/>
  <c r="L61" i="40"/>
  <c r="N60" i="40"/>
  <c r="L60" i="40"/>
  <c r="N59" i="40"/>
  <c r="L59" i="40"/>
  <c r="N58" i="40"/>
  <c r="L58" i="40"/>
  <c r="N57" i="40"/>
  <c r="L57" i="40"/>
  <c r="N56" i="40"/>
  <c r="L56" i="40"/>
  <c r="N55" i="40"/>
  <c r="L55" i="40"/>
  <c r="N54" i="40"/>
  <c r="L54" i="40"/>
  <c r="N53" i="40"/>
  <c r="L53" i="40"/>
  <c r="N52" i="40"/>
  <c r="L52" i="40"/>
  <c r="N51" i="40"/>
  <c r="L51" i="40"/>
  <c r="N50" i="40"/>
  <c r="L50" i="40"/>
  <c r="N49" i="40"/>
  <c r="L49" i="40"/>
  <c r="N48" i="40"/>
  <c r="L48" i="40"/>
  <c r="N47" i="40"/>
  <c r="L47" i="40"/>
  <c r="N46" i="40"/>
  <c r="L46" i="40"/>
  <c r="N45" i="40"/>
  <c r="L45" i="40"/>
  <c r="N44" i="40"/>
  <c r="L44" i="40"/>
  <c r="N43" i="40"/>
  <c r="L43" i="40"/>
  <c r="N42" i="40"/>
  <c r="L42" i="40"/>
  <c r="N41" i="40"/>
  <c r="L41" i="40"/>
  <c r="N40" i="40"/>
  <c r="L40" i="40"/>
  <c r="N39" i="40"/>
  <c r="L39" i="40"/>
  <c r="N38" i="40"/>
  <c r="L38" i="40"/>
  <c r="N37" i="40"/>
  <c r="L37" i="40"/>
  <c r="N36" i="40"/>
  <c r="L36" i="40"/>
  <c r="N35" i="40"/>
  <c r="L35" i="40"/>
  <c r="N34" i="40"/>
  <c r="L34" i="40"/>
  <c r="N33" i="40"/>
  <c r="L33" i="40"/>
  <c r="N32" i="40"/>
  <c r="L32" i="40"/>
  <c r="N31" i="40"/>
  <c r="L31" i="40"/>
  <c r="N30" i="40"/>
  <c r="L30" i="40"/>
  <c r="N29" i="40"/>
  <c r="L29" i="40"/>
  <c r="N28" i="40"/>
  <c r="L28" i="40"/>
  <c r="N27" i="40"/>
  <c r="L27" i="40"/>
  <c r="N26" i="40"/>
  <c r="L26" i="40"/>
  <c r="N25" i="40"/>
  <c r="L25" i="40"/>
  <c r="N22" i="40"/>
  <c r="N21" i="40"/>
  <c r="N20" i="40"/>
  <c r="N19" i="40"/>
  <c r="N18" i="40"/>
  <c r="O18" i="40" s="1"/>
  <c r="C17" i="40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C40" i="40" s="1"/>
  <c r="C41" i="40" s="1"/>
  <c r="C42" i="40" s="1"/>
  <c r="C43" i="40" s="1"/>
  <c r="C44" i="40" s="1"/>
  <c r="K11" i="40"/>
  <c r="I11" i="40"/>
  <c r="D8" i="40"/>
  <c r="D90" i="40" s="1"/>
  <c r="P154" i="39"/>
  <c r="O154" i="39"/>
  <c r="M154" i="39"/>
  <c r="J154" i="39"/>
  <c r="P153" i="39"/>
  <c r="O153" i="39"/>
  <c r="M153" i="39"/>
  <c r="J153" i="39"/>
  <c r="P152" i="39"/>
  <c r="O152" i="39"/>
  <c r="M152" i="39"/>
  <c r="J152" i="39"/>
  <c r="P151" i="39"/>
  <c r="O151" i="39"/>
  <c r="M151" i="39"/>
  <c r="J151" i="39"/>
  <c r="P150" i="39"/>
  <c r="O150" i="39"/>
  <c r="M150" i="39"/>
  <c r="J150" i="39"/>
  <c r="P149" i="39"/>
  <c r="O149" i="39"/>
  <c r="M149" i="39"/>
  <c r="J149" i="39"/>
  <c r="P148" i="39"/>
  <c r="O148" i="39"/>
  <c r="M148" i="39"/>
  <c r="J148" i="39"/>
  <c r="P147" i="39"/>
  <c r="O147" i="39"/>
  <c r="M147" i="39"/>
  <c r="J147" i="39"/>
  <c r="P146" i="39"/>
  <c r="O146" i="39"/>
  <c r="M146" i="39"/>
  <c r="J146" i="39"/>
  <c r="P145" i="39"/>
  <c r="O145" i="39"/>
  <c r="M145" i="39"/>
  <c r="J145" i="39"/>
  <c r="P144" i="39"/>
  <c r="O144" i="39"/>
  <c r="M144" i="39"/>
  <c r="J144" i="39"/>
  <c r="P143" i="39"/>
  <c r="O143" i="39"/>
  <c r="M143" i="39"/>
  <c r="J143" i="39"/>
  <c r="P142" i="39"/>
  <c r="O142" i="39"/>
  <c r="M142" i="39"/>
  <c r="J142" i="39"/>
  <c r="P141" i="39"/>
  <c r="O141" i="39"/>
  <c r="M141" i="39"/>
  <c r="J141" i="39"/>
  <c r="P140" i="39"/>
  <c r="O140" i="39"/>
  <c r="M140" i="39"/>
  <c r="J140" i="39"/>
  <c r="P139" i="39"/>
  <c r="O139" i="39"/>
  <c r="M139" i="39"/>
  <c r="J139" i="39"/>
  <c r="P138" i="39"/>
  <c r="O138" i="39"/>
  <c r="M138" i="39"/>
  <c r="J138" i="39"/>
  <c r="P137" i="39"/>
  <c r="O137" i="39"/>
  <c r="M137" i="39"/>
  <c r="J137" i="39"/>
  <c r="P136" i="39"/>
  <c r="O136" i="39"/>
  <c r="M136" i="39"/>
  <c r="J136" i="39"/>
  <c r="P135" i="39"/>
  <c r="O135" i="39"/>
  <c r="M135" i="39"/>
  <c r="J135" i="39"/>
  <c r="P134" i="39"/>
  <c r="O134" i="39"/>
  <c r="M134" i="39"/>
  <c r="J134" i="39"/>
  <c r="P133" i="39"/>
  <c r="O133" i="39"/>
  <c r="M133" i="39"/>
  <c r="J133" i="39"/>
  <c r="P132" i="39"/>
  <c r="O132" i="39"/>
  <c r="M132" i="39"/>
  <c r="J132" i="39"/>
  <c r="P131" i="39"/>
  <c r="O131" i="39"/>
  <c r="M131" i="39"/>
  <c r="J131" i="39"/>
  <c r="O130" i="39"/>
  <c r="M130" i="39"/>
  <c r="O129" i="39"/>
  <c r="M129" i="39"/>
  <c r="O128" i="39"/>
  <c r="M128" i="39"/>
  <c r="O127" i="39"/>
  <c r="M127" i="39"/>
  <c r="O126" i="39"/>
  <c r="M126" i="39"/>
  <c r="O125" i="39"/>
  <c r="M125" i="39"/>
  <c r="O124" i="39"/>
  <c r="M124" i="39"/>
  <c r="O123" i="39"/>
  <c r="M123" i="39"/>
  <c r="O122" i="39"/>
  <c r="M122" i="39"/>
  <c r="O121" i="39"/>
  <c r="M121" i="39"/>
  <c r="O120" i="39"/>
  <c r="M120" i="39"/>
  <c r="O119" i="39"/>
  <c r="M119" i="39"/>
  <c r="O118" i="39"/>
  <c r="M118" i="39"/>
  <c r="O117" i="39"/>
  <c r="M117" i="39"/>
  <c r="O116" i="39"/>
  <c r="M116" i="39"/>
  <c r="O115" i="39"/>
  <c r="M115" i="39"/>
  <c r="O114" i="39"/>
  <c r="M114" i="39"/>
  <c r="O113" i="39"/>
  <c r="M113" i="39"/>
  <c r="O112" i="39"/>
  <c r="M112" i="39"/>
  <c r="O111" i="39"/>
  <c r="M111" i="39"/>
  <c r="O110" i="39"/>
  <c r="M110" i="39"/>
  <c r="O109" i="39"/>
  <c r="M109" i="39"/>
  <c r="O108" i="39"/>
  <c r="M108" i="39"/>
  <c r="O107" i="39"/>
  <c r="M107" i="39"/>
  <c r="O103" i="39"/>
  <c r="O102" i="39"/>
  <c r="O101" i="39"/>
  <c r="D96" i="39"/>
  <c r="L93" i="39"/>
  <c r="J93" i="39"/>
  <c r="D91" i="39"/>
  <c r="D89" i="39"/>
  <c r="N72" i="39"/>
  <c r="L72" i="39"/>
  <c r="N71" i="39"/>
  <c r="L71" i="39"/>
  <c r="N70" i="39"/>
  <c r="L70" i="39"/>
  <c r="N69" i="39"/>
  <c r="L69" i="39"/>
  <c r="N68" i="39"/>
  <c r="L68" i="39"/>
  <c r="N67" i="39"/>
  <c r="L67" i="39"/>
  <c r="N66" i="39"/>
  <c r="L66" i="39"/>
  <c r="N65" i="39"/>
  <c r="L65" i="39"/>
  <c r="N64" i="39"/>
  <c r="L64" i="39"/>
  <c r="N63" i="39"/>
  <c r="L63" i="39"/>
  <c r="N62" i="39"/>
  <c r="L62" i="39"/>
  <c r="N61" i="39"/>
  <c r="L61" i="39"/>
  <c r="N60" i="39"/>
  <c r="L60" i="39"/>
  <c r="N59" i="39"/>
  <c r="L59" i="39"/>
  <c r="N58" i="39"/>
  <c r="L58" i="39"/>
  <c r="N57" i="39"/>
  <c r="L57" i="39"/>
  <c r="N56" i="39"/>
  <c r="L56" i="39"/>
  <c r="N55" i="39"/>
  <c r="L55" i="39"/>
  <c r="N54" i="39"/>
  <c r="L54" i="39"/>
  <c r="N53" i="39"/>
  <c r="L53" i="39"/>
  <c r="N52" i="39"/>
  <c r="L52" i="39"/>
  <c r="N51" i="39"/>
  <c r="L51" i="39"/>
  <c r="N50" i="39"/>
  <c r="L50" i="39"/>
  <c r="N49" i="39"/>
  <c r="L49" i="39"/>
  <c r="N48" i="39"/>
  <c r="L48" i="39"/>
  <c r="N47" i="39"/>
  <c r="L47" i="39"/>
  <c r="N46" i="39"/>
  <c r="L46" i="39"/>
  <c r="N45" i="39"/>
  <c r="L45" i="39"/>
  <c r="N44" i="39"/>
  <c r="L44" i="39"/>
  <c r="N43" i="39"/>
  <c r="L43" i="39"/>
  <c r="N42" i="39"/>
  <c r="L42" i="39"/>
  <c r="N41" i="39"/>
  <c r="L41" i="39"/>
  <c r="N40" i="39"/>
  <c r="L40" i="39"/>
  <c r="N39" i="39"/>
  <c r="L39" i="39"/>
  <c r="N38" i="39"/>
  <c r="L38" i="39"/>
  <c r="N37" i="39"/>
  <c r="L37" i="39"/>
  <c r="N36" i="39"/>
  <c r="L36" i="39"/>
  <c r="N35" i="39"/>
  <c r="L35" i="39"/>
  <c r="N34" i="39"/>
  <c r="L34" i="39"/>
  <c r="N33" i="39"/>
  <c r="L33" i="39"/>
  <c r="N32" i="39"/>
  <c r="L32" i="39"/>
  <c r="N31" i="39"/>
  <c r="L31" i="39"/>
  <c r="N30" i="39"/>
  <c r="L30" i="39"/>
  <c r="N29" i="39"/>
  <c r="L29" i="39"/>
  <c r="N28" i="39"/>
  <c r="L28" i="39"/>
  <c r="N27" i="39"/>
  <c r="L27" i="39"/>
  <c r="N26" i="39"/>
  <c r="L26" i="39"/>
  <c r="N23" i="39"/>
  <c r="N22" i="39"/>
  <c r="N21" i="39"/>
  <c r="N20" i="39"/>
  <c r="N19" i="39"/>
  <c r="O19" i="39" s="1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1" i="39"/>
  <c r="I11" i="39"/>
  <c r="D8" i="39"/>
  <c r="D90" i="39" s="1"/>
  <c r="P154" i="38"/>
  <c r="O154" i="38"/>
  <c r="M154" i="38"/>
  <c r="J154" i="38"/>
  <c r="P153" i="38"/>
  <c r="O153" i="38"/>
  <c r="M153" i="38"/>
  <c r="J153" i="38"/>
  <c r="P152" i="38"/>
  <c r="O152" i="38"/>
  <c r="M152" i="38"/>
  <c r="J152" i="38"/>
  <c r="P151" i="38"/>
  <c r="O151" i="38"/>
  <c r="M151" i="38"/>
  <c r="J151" i="38"/>
  <c r="P150" i="38"/>
  <c r="O150" i="38"/>
  <c r="M150" i="38"/>
  <c r="J150" i="38"/>
  <c r="P149" i="38"/>
  <c r="O149" i="38"/>
  <c r="M149" i="38"/>
  <c r="J149" i="38"/>
  <c r="P148" i="38"/>
  <c r="O148" i="38"/>
  <c r="M148" i="38"/>
  <c r="J148" i="38"/>
  <c r="P147" i="38"/>
  <c r="O147" i="38"/>
  <c r="M147" i="38"/>
  <c r="J147" i="38"/>
  <c r="P146" i="38"/>
  <c r="O146" i="38"/>
  <c r="M146" i="38"/>
  <c r="J146" i="38"/>
  <c r="P145" i="38"/>
  <c r="O145" i="38"/>
  <c r="M145" i="38"/>
  <c r="J145" i="38"/>
  <c r="P144" i="38"/>
  <c r="O144" i="38"/>
  <c r="M144" i="38"/>
  <c r="J144" i="38"/>
  <c r="P143" i="38"/>
  <c r="O143" i="38"/>
  <c r="M143" i="38"/>
  <c r="J143" i="38"/>
  <c r="P142" i="38"/>
  <c r="O142" i="38"/>
  <c r="M142" i="38"/>
  <c r="J142" i="38"/>
  <c r="P141" i="38"/>
  <c r="O141" i="38"/>
  <c r="M141" i="38"/>
  <c r="J141" i="38"/>
  <c r="P140" i="38"/>
  <c r="O140" i="38"/>
  <c r="M140" i="38"/>
  <c r="J140" i="38"/>
  <c r="P139" i="38"/>
  <c r="O139" i="38"/>
  <c r="M139" i="38"/>
  <c r="J139" i="38"/>
  <c r="P138" i="38"/>
  <c r="O138" i="38"/>
  <c r="M138" i="38"/>
  <c r="J138" i="38"/>
  <c r="P137" i="38"/>
  <c r="O137" i="38"/>
  <c r="M137" i="38"/>
  <c r="J137" i="38"/>
  <c r="P136" i="38"/>
  <c r="O136" i="38"/>
  <c r="M136" i="38"/>
  <c r="J136" i="38"/>
  <c r="P135" i="38"/>
  <c r="O135" i="38"/>
  <c r="M135" i="38"/>
  <c r="J135" i="38"/>
  <c r="P134" i="38"/>
  <c r="O134" i="38"/>
  <c r="M134" i="38"/>
  <c r="J134" i="38"/>
  <c r="P133" i="38"/>
  <c r="O133" i="38"/>
  <c r="M133" i="38"/>
  <c r="J133" i="38"/>
  <c r="P132" i="38"/>
  <c r="O132" i="38"/>
  <c r="M132" i="38"/>
  <c r="J132" i="38"/>
  <c r="P131" i="38"/>
  <c r="O131" i="38"/>
  <c r="M131" i="38"/>
  <c r="J131" i="38"/>
  <c r="O130" i="38"/>
  <c r="M130" i="38"/>
  <c r="O129" i="38"/>
  <c r="M129" i="38"/>
  <c r="O128" i="38"/>
  <c r="M128" i="38"/>
  <c r="O127" i="38"/>
  <c r="M127" i="38"/>
  <c r="O126" i="38"/>
  <c r="M126" i="38"/>
  <c r="O125" i="38"/>
  <c r="M125" i="38"/>
  <c r="O124" i="38"/>
  <c r="M124" i="38"/>
  <c r="O123" i="38"/>
  <c r="M123" i="38"/>
  <c r="O122" i="38"/>
  <c r="M122" i="38"/>
  <c r="O121" i="38"/>
  <c r="M121" i="38"/>
  <c r="O120" i="38"/>
  <c r="M120" i="38"/>
  <c r="O119" i="38"/>
  <c r="M119" i="38"/>
  <c r="O118" i="38"/>
  <c r="M118" i="38"/>
  <c r="O117" i="38"/>
  <c r="M117" i="38"/>
  <c r="O116" i="38"/>
  <c r="M116" i="38"/>
  <c r="O115" i="38"/>
  <c r="M115" i="38"/>
  <c r="O114" i="38"/>
  <c r="M114" i="38"/>
  <c r="O113" i="38"/>
  <c r="M113" i="38"/>
  <c r="O112" i="38"/>
  <c r="M112" i="38"/>
  <c r="O111" i="38"/>
  <c r="M111" i="38"/>
  <c r="O110" i="38"/>
  <c r="M110" i="38"/>
  <c r="O109" i="38"/>
  <c r="M109" i="38"/>
  <c r="O108" i="38"/>
  <c r="M108" i="38"/>
  <c r="O107" i="38"/>
  <c r="M107" i="38"/>
  <c r="O106" i="38"/>
  <c r="M106" i="38"/>
  <c r="O102" i="38"/>
  <c r="O101" i="38"/>
  <c r="D96" i="38"/>
  <c r="L93" i="38"/>
  <c r="J93" i="38"/>
  <c r="D91" i="38"/>
  <c r="D89" i="38"/>
  <c r="N72" i="38"/>
  <c r="L72" i="38"/>
  <c r="N71" i="38"/>
  <c r="L71" i="38"/>
  <c r="N70" i="38"/>
  <c r="L70" i="38"/>
  <c r="N69" i="38"/>
  <c r="L69" i="38"/>
  <c r="N68" i="38"/>
  <c r="L68" i="38"/>
  <c r="N67" i="38"/>
  <c r="L67" i="38"/>
  <c r="N66" i="38"/>
  <c r="L66" i="38"/>
  <c r="N65" i="38"/>
  <c r="L65" i="38"/>
  <c r="N64" i="38"/>
  <c r="L64" i="38"/>
  <c r="N63" i="38"/>
  <c r="L63" i="38"/>
  <c r="N62" i="38"/>
  <c r="L62" i="38"/>
  <c r="N61" i="38"/>
  <c r="L61" i="38"/>
  <c r="N60" i="38"/>
  <c r="L60" i="38"/>
  <c r="N59" i="38"/>
  <c r="L59" i="38"/>
  <c r="N58" i="38"/>
  <c r="L58" i="38"/>
  <c r="N57" i="38"/>
  <c r="L57" i="38"/>
  <c r="N56" i="38"/>
  <c r="L56" i="38"/>
  <c r="N55" i="38"/>
  <c r="L55" i="38"/>
  <c r="N54" i="38"/>
  <c r="L54" i="38"/>
  <c r="N53" i="38"/>
  <c r="L53" i="38"/>
  <c r="N52" i="38"/>
  <c r="L52" i="38"/>
  <c r="N51" i="38"/>
  <c r="L51" i="38"/>
  <c r="N50" i="38"/>
  <c r="L50" i="38"/>
  <c r="N49" i="38"/>
  <c r="L49" i="38"/>
  <c r="N48" i="38"/>
  <c r="L48" i="38"/>
  <c r="N47" i="38"/>
  <c r="L47" i="38"/>
  <c r="N46" i="38"/>
  <c r="L46" i="38"/>
  <c r="N45" i="38"/>
  <c r="L45" i="38"/>
  <c r="N44" i="38"/>
  <c r="L44" i="38"/>
  <c r="N43" i="38"/>
  <c r="L43" i="38"/>
  <c r="N42" i="38"/>
  <c r="L42" i="38"/>
  <c r="N41" i="38"/>
  <c r="L41" i="38"/>
  <c r="N40" i="38"/>
  <c r="L40" i="38"/>
  <c r="N39" i="38"/>
  <c r="L39" i="38"/>
  <c r="N38" i="38"/>
  <c r="L38" i="38"/>
  <c r="N37" i="38"/>
  <c r="L37" i="38"/>
  <c r="N36" i="38"/>
  <c r="L36" i="38"/>
  <c r="N35" i="38"/>
  <c r="L35" i="38"/>
  <c r="N34" i="38"/>
  <c r="L34" i="38"/>
  <c r="N33" i="38"/>
  <c r="L33" i="38"/>
  <c r="N32" i="38"/>
  <c r="L32" i="38"/>
  <c r="N31" i="38"/>
  <c r="L31" i="38"/>
  <c r="N30" i="38"/>
  <c r="L30" i="38"/>
  <c r="N29" i="38"/>
  <c r="L29" i="38"/>
  <c r="N28" i="38"/>
  <c r="L28" i="38"/>
  <c r="N27" i="38"/>
  <c r="L27" i="38"/>
  <c r="N26" i="38"/>
  <c r="L26" i="38"/>
  <c r="N23" i="38"/>
  <c r="N22" i="38"/>
  <c r="N21" i="38"/>
  <c r="N20" i="38"/>
  <c r="N19" i="38"/>
  <c r="C18" i="38"/>
  <c r="C19" i="38" s="1"/>
  <c r="C20" i="38" s="1"/>
  <c r="C21" i="38" s="1"/>
  <c r="C22" i="38" s="1"/>
  <c r="C23" i="38" s="1"/>
  <c r="C24" i="38" s="1"/>
  <c r="C25" i="38" s="1"/>
  <c r="C26" i="38" s="1"/>
  <c r="C27" i="38" s="1"/>
  <c r="C28" i="38" s="1"/>
  <c r="C29" i="38" s="1"/>
  <c r="C30" i="38" s="1"/>
  <c r="C31" i="38" s="1"/>
  <c r="C32" i="38" s="1"/>
  <c r="C33" i="38" s="1"/>
  <c r="C34" i="38" s="1"/>
  <c r="C35" i="38" s="1"/>
  <c r="C36" i="38" s="1"/>
  <c r="C37" i="38" s="1"/>
  <c r="C38" i="38" s="1"/>
  <c r="C39" i="38" s="1"/>
  <c r="C40" i="38" s="1"/>
  <c r="C41" i="38" s="1"/>
  <c r="C42" i="38" s="1"/>
  <c r="C43" i="38" s="1"/>
  <c r="C44" i="38" s="1"/>
  <c r="C45" i="38" s="1"/>
  <c r="C46" i="38" s="1"/>
  <c r="C47" i="38" s="1"/>
  <c r="C48" i="38" s="1"/>
  <c r="C49" i="38" s="1"/>
  <c r="C50" i="38" s="1"/>
  <c r="C51" i="38" s="1"/>
  <c r="C52" i="38" s="1"/>
  <c r="C53" i="38" s="1"/>
  <c r="C54" i="38" s="1"/>
  <c r="C55" i="38" s="1"/>
  <c r="C56" i="38" s="1"/>
  <c r="C57" i="38" s="1"/>
  <c r="C58" i="38" s="1"/>
  <c r="C59" i="38" s="1"/>
  <c r="C60" i="38" s="1"/>
  <c r="C61" i="38" s="1"/>
  <c r="C62" i="38" s="1"/>
  <c r="C63" i="38" s="1"/>
  <c r="C64" i="38" s="1"/>
  <c r="C65" i="38" s="1"/>
  <c r="C66" i="38" s="1"/>
  <c r="C67" i="38" s="1"/>
  <c r="C68" i="38" s="1"/>
  <c r="C69" i="38" s="1"/>
  <c r="C70" i="38" s="1"/>
  <c r="C71" i="38" s="1"/>
  <c r="C72" i="38" s="1"/>
  <c r="K11" i="38"/>
  <c r="I11" i="38"/>
  <c r="D8" i="38"/>
  <c r="D90" i="38" s="1"/>
  <c r="W39" i="17"/>
  <c r="W38" i="17"/>
  <c r="W37" i="17"/>
  <c r="W36" i="17"/>
  <c r="W35" i="17"/>
  <c r="P35" i="17"/>
  <c r="P154" i="37"/>
  <c r="O154" i="37"/>
  <c r="M154" i="37"/>
  <c r="J154" i="37"/>
  <c r="P153" i="37"/>
  <c r="O153" i="37"/>
  <c r="M153" i="37"/>
  <c r="J153" i="37"/>
  <c r="P152" i="37"/>
  <c r="O152" i="37"/>
  <c r="M152" i="37"/>
  <c r="J152" i="37"/>
  <c r="P151" i="37"/>
  <c r="O151" i="37"/>
  <c r="M151" i="37"/>
  <c r="J151" i="37"/>
  <c r="P150" i="37"/>
  <c r="O150" i="37"/>
  <c r="M150" i="37"/>
  <c r="J150" i="37"/>
  <c r="P149" i="37"/>
  <c r="O149" i="37"/>
  <c r="M149" i="37"/>
  <c r="J149" i="37"/>
  <c r="P148" i="37"/>
  <c r="O148" i="37"/>
  <c r="M148" i="37"/>
  <c r="J148" i="37"/>
  <c r="P147" i="37"/>
  <c r="O147" i="37"/>
  <c r="M147" i="37"/>
  <c r="J147" i="37"/>
  <c r="P146" i="37"/>
  <c r="O146" i="37"/>
  <c r="M146" i="37"/>
  <c r="J146" i="37"/>
  <c r="P145" i="37"/>
  <c r="O145" i="37"/>
  <c r="M145" i="37"/>
  <c r="J145" i="37"/>
  <c r="P144" i="37"/>
  <c r="O144" i="37"/>
  <c r="M144" i="37"/>
  <c r="J144" i="37"/>
  <c r="P143" i="37"/>
  <c r="O143" i="37"/>
  <c r="M143" i="37"/>
  <c r="J143" i="37"/>
  <c r="P142" i="37"/>
  <c r="O142" i="37"/>
  <c r="M142" i="37"/>
  <c r="J142" i="37"/>
  <c r="P141" i="37"/>
  <c r="O141" i="37"/>
  <c r="M141" i="37"/>
  <c r="J141" i="37"/>
  <c r="P140" i="37"/>
  <c r="O140" i="37"/>
  <c r="M140" i="37"/>
  <c r="J140" i="37"/>
  <c r="P139" i="37"/>
  <c r="O139" i="37"/>
  <c r="M139" i="37"/>
  <c r="J139" i="37"/>
  <c r="P138" i="37"/>
  <c r="O138" i="37"/>
  <c r="M138" i="37"/>
  <c r="J138" i="37"/>
  <c r="P137" i="37"/>
  <c r="O137" i="37"/>
  <c r="M137" i="37"/>
  <c r="J137" i="37"/>
  <c r="P136" i="37"/>
  <c r="O136" i="37"/>
  <c r="M136" i="37"/>
  <c r="J136" i="37"/>
  <c r="P135" i="37"/>
  <c r="O135" i="37"/>
  <c r="M135" i="37"/>
  <c r="J135" i="37"/>
  <c r="P134" i="37"/>
  <c r="O134" i="37"/>
  <c r="M134" i="37"/>
  <c r="J134" i="37"/>
  <c r="P133" i="37"/>
  <c r="O133" i="37"/>
  <c r="M133" i="37"/>
  <c r="J133" i="37"/>
  <c r="P132" i="37"/>
  <c r="O132" i="37"/>
  <c r="M132" i="37"/>
  <c r="J132" i="37"/>
  <c r="P131" i="37"/>
  <c r="O131" i="37"/>
  <c r="M131" i="37"/>
  <c r="J131" i="37"/>
  <c r="O130" i="37"/>
  <c r="M130" i="37"/>
  <c r="O129" i="37"/>
  <c r="M129" i="37"/>
  <c r="O128" i="37"/>
  <c r="M128" i="37"/>
  <c r="O127" i="37"/>
  <c r="M127" i="37"/>
  <c r="O126" i="37"/>
  <c r="M126" i="37"/>
  <c r="O125" i="37"/>
  <c r="M125" i="37"/>
  <c r="O124" i="37"/>
  <c r="M124" i="37"/>
  <c r="O123" i="37"/>
  <c r="M123" i="37"/>
  <c r="O122" i="37"/>
  <c r="M122" i="37"/>
  <c r="O121" i="37"/>
  <c r="M121" i="37"/>
  <c r="O120" i="37"/>
  <c r="M120" i="37"/>
  <c r="O119" i="37"/>
  <c r="M119" i="37"/>
  <c r="O118" i="37"/>
  <c r="M118" i="37"/>
  <c r="O117" i="37"/>
  <c r="M117" i="37"/>
  <c r="O116" i="37"/>
  <c r="M116" i="37"/>
  <c r="O115" i="37"/>
  <c r="M115" i="37"/>
  <c r="O114" i="37"/>
  <c r="M114" i="37"/>
  <c r="O113" i="37"/>
  <c r="M113" i="37"/>
  <c r="O112" i="37"/>
  <c r="M112" i="37"/>
  <c r="O111" i="37"/>
  <c r="M111" i="37"/>
  <c r="O110" i="37"/>
  <c r="M110" i="37"/>
  <c r="O109" i="37"/>
  <c r="M109" i="37"/>
  <c r="O108" i="37"/>
  <c r="M108" i="37"/>
  <c r="O107" i="37"/>
  <c r="M107" i="37"/>
  <c r="O103" i="37"/>
  <c r="O102" i="37"/>
  <c r="O101" i="37"/>
  <c r="D96" i="37"/>
  <c r="L93" i="37"/>
  <c r="J93" i="37"/>
  <c r="D91" i="37"/>
  <c r="D89" i="37"/>
  <c r="N72" i="37"/>
  <c r="L72" i="37"/>
  <c r="N71" i="37"/>
  <c r="L71" i="37"/>
  <c r="N70" i="37"/>
  <c r="L70" i="37"/>
  <c r="N69" i="37"/>
  <c r="L69" i="37"/>
  <c r="N68" i="37"/>
  <c r="L68" i="37"/>
  <c r="N67" i="37"/>
  <c r="L67" i="37"/>
  <c r="N66" i="37"/>
  <c r="L66" i="37"/>
  <c r="N65" i="37"/>
  <c r="L65" i="37"/>
  <c r="N64" i="37"/>
  <c r="L64" i="37"/>
  <c r="N63" i="37"/>
  <c r="L63" i="37"/>
  <c r="N62" i="37"/>
  <c r="L62" i="37"/>
  <c r="N61" i="37"/>
  <c r="L61" i="37"/>
  <c r="N60" i="37"/>
  <c r="L60" i="37"/>
  <c r="N59" i="37"/>
  <c r="L59" i="37"/>
  <c r="N58" i="37"/>
  <c r="L58" i="37"/>
  <c r="N57" i="37"/>
  <c r="L57" i="37"/>
  <c r="N56" i="37"/>
  <c r="L56" i="37"/>
  <c r="N55" i="37"/>
  <c r="L55" i="37"/>
  <c r="N54" i="37"/>
  <c r="L54" i="37"/>
  <c r="N53" i="37"/>
  <c r="L53" i="37"/>
  <c r="N52" i="37"/>
  <c r="L52" i="37"/>
  <c r="N51" i="37"/>
  <c r="L51" i="37"/>
  <c r="N50" i="37"/>
  <c r="L50" i="37"/>
  <c r="N49" i="37"/>
  <c r="L49" i="37"/>
  <c r="N48" i="37"/>
  <c r="L48" i="37"/>
  <c r="N47" i="37"/>
  <c r="L47" i="37"/>
  <c r="N46" i="37"/>
  <c r="L46" i="37"/>
  <c r="N45" i="37"/>
  <c r="L45" i="37"/>
  <c r="N44" i="37"/>
  <c r="L44" i="37"/>
  <c r="N43" i="37"/>
  <c r="L43" i="37"/>
  <c r="N42" i="37"/>
  <c r="L42" i="37"/>
  <c r="N41" i="37"/>
  <c r="L41" i="37"/>
  <c r="N40" i="37"/>
  <c r="L40" i="37"/>
  <c r="N39" i="37"/>
  <c r="L39" i="37"/>
  <c r="N38" i="37"/>
  <c r="L38" i="37"/>
  <c r="N37" i="37"/>
  <c r="L37" i="37"/>
  <c r="N36" i="37"/>
  <c r="L36" i="37"/>
  <c r="N35" i="37"/>
  <c r="L35" i="37"/>
  <c r="N34" i="37"/>
  <c r="L34" i="37"/>
  <c r="N33" i="37"/>
  <c r="L33" i="37"/>
  <c r="N32" i="37"/>
  <c r="L32" i="37"/>
  <c r="N31" i="37"/>
  <c r="L31" i="37"/>
  <c r="N30" i="37"/>
  <c r="L30" i="37"/>
  <c r="N29" i="37"/>
  <c r="L29" i="37"/>
  <c r="N28" i="37"/>
  <c r="L28" i="37"/>
  <c r="N27" i="37"/>
  <c r="L27" i="37"/>
  <c r="N26" i="37"/>
  <c r="L26" i="37"/>
  <c r="N23" i="37"/>
  <c r="N22" i="37"/>
  <c r="N21" i="37"/>
  <c r="N20" i="37"/>
  <c r="O20" i="37" s="1"/>
  <c r="N19" i="37"/>
  <c r="C17" i="37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K11" i="37"/>
  <c r="I11" i="37"/>
  <c r="D8" i="37"/>
  <c r="D90" i="37" s="1"/>
  <c r="M55" i="17"/>
  <c r="N99" i="31"/>
  <c r="O99" i="31" s="1"/>
  <c r="L99" i="31"/>
  <c r="M99" i="31" s="1"/>
  <c r="D96" i="31"/>
  <c r="M18" i="31"/>
  <c r="N18" i="31" s="1"/>
  <c r="K18" i="31"/>
  <c r="L18" i="31" s="1"/>
  <c r="M17" i="30"/>
  <c r="N17" i="30" s="1"/>
  <c r="K17" i="30"/>
  <c r="L17" i="30" s="1"/>
  <c r="N99" i="29"/>
  <c r="O99" i="29" s="1"/>
  <c r="L99" i="29"/>
  <c r="M99" i="29" s="1"/>
  <c r="M18" i="29"/>
  <c r="N18" i="29" s="1"/>
  <c r="K18" i="29"/>
  <c r="L18" i="29" s="1"/>
  <c r="N99" i="28"/>
  <c r="O99" i="28" s="1"/>
  <c r="L99" i="28"/>
  <c r="M99" i="28" s="1"/>
  <c r="M18" i="28"/>
  <c r="N18" i="28" s="1"/>
  <c r="K18" i="28"/>
  <c r="L18" i="28" s="1"/>
  <c r="N103" i="25"/>
  <c r="O103" i="25" s="1"/>
  <c r="L103" i="25"/>
  <c r="M103" i="25" s="1"/>
  <c r="M22" i="25"/>
  <c r="N22" i="25" s="1"/>
  <c r="K22" i="25"/>
  <c r="L22" i="25" s="1"/>
  <c r="N101" i="24"/>
  <c r="O101" i="24" s="1"/>
  <c r="L101" i="24"/>
  <c r="M101" i="24" s="1"/>
  <c r="M20" i="24"/>
  <c r="N20" i="24" s="1"/>
  <c r="K20" i="24"/>
  <c r="L20" i="24" s="1"/>
  <c r="M21" i="23"/>
  <c r="N21" i="23" s="1"/>
  <c r="K21" i="23"/>
  <c r="L21" i="23" s="1"/>
  <c r="N102" i="23"/>
  <c r="O102" i="23" s="1"/>
  <c r="L102" i="23"/>
  <c r="M102" i="23" s="1"/>
  <c r="N103" i="22"/>
  <c r="O103" i="22" s="1"/>
  <c r="L103" i="22"/>
  <c r="M103" i="22" s="1"/>
  <c r="M22" i="22"/>
  <c r="N22" i="22" s="1"/>
  <c r="K22" i="22"/>
  <c r="L22" i="22" s="1"/>
  <c r="N106" i="11"/>
  <c r="O106" i="11" s="1"/>
  <c r="L106" i="11"/>
  <c r="M106" i="11" s="1"/>
  <c r="M25" i="11"/>
  <c r="N25" i="11" s="1"/>
  <c r="K25" i="11"/>
  <c r="L25" i="11" s="1"/>
  <c r="N107" i="10"/>
  <c r="O107" i="10" s="1"/>
  <c r="L107" i="10"/>
  <c r="M107" i="10" s="1"/>
  <c r="M26" i="10"/>
  <c r="N26" i="10" s="1"/>
  <c r="K26" i="10"/>
  <c r="L26" i="10" s="1"/>
  <c r="N106" i="9"/>
  <c r="O106" i="9" s="1"/>
  <c r="L106" i="9"/>
  <c r="M106" i="9" s="1"/>
  <c r="M25" i="9"/>
  <c r="N25" i="9" s="1"/>
  <c r="K25" i="9"/>
  <c r="L25" i="9" s="1"/>
  <c r="N105" i="8"/>
  <c r="O105" i="8" s="1"/>
  <c r="L105" i="8"/>
  <c r="M105" i="8" s="1"/>
  <c r="M24" i="8"/>
  <c r="N24" i="8" s="1"/>
  <c r="K24" i="8"/>
  <c r="L24" i="8" s="1"/>
  <c r="N107" i="7"/>
  <c r="O107" i="7" s="1"/>
  <c r="L107" i="7"/>
  <c r="M107" i="7" s="1"/>
  <c r="M26" i="7"/>
  <c r="N26" i="7" s="1"/>
  <c r="K26" i="7"/>
  <c r="L26" i="7" s="1"/>
  <c r="N105" i="6"/>
  <c r="O105" i="6" s="1"/>
  <c r="L105" i="6"/>
  <c r="M105" i="6" s="1"/>
  <c r="M24" i="6"/>
  <c r="N24" i="6" s="1"/>
  <c r="K24" i="6"/>
  <c r="L24" i="6" s="1"/>
  <c r="N104" i="5"/>
  <c r="O104" i="5" s="1"/>
  <c r="L104" i="5"/>
  <c r="M104" i="5" s="1"/>
  <c r="M23" i="5"/>
  <c r="N23" i="5" s="1"/>
  <c r="K23" i="5"/>
  <c r="L23" i="5" s="1"/>
  <c r="N104" i="4"/>
  <c r="O104" i="4" s="1"/>
  <c r="L104" i="4"/>
  <c r="M104" i="4" s="1"/>
  <c r="M23" i="4"/>
  <c r="N23" i="4" s="1"/>
  <c r="K23" i="4"/>
  <c r="L23" i="4" s="1"/>
  <c r="N104" i="3"/>
  <c r="O104" i="3" s="1"/>
  <c r="L104" i="3"/>
  <c r="M104" i="3" s="1"/>
  <c r="M23" i="3"/>
  <c r="N23" i="3" s="1"/>
  <c r="K23" i="3"/>
  <c r="L23" i="3" s="1"/>
  <c r="N100" i="27"/>
  <c r="O100" i="27" s="1"/>
  <c r="L100" i="27"/>
  <c r="M100" i="27" s="1"/>
  <c r="N99" i="27"/>
  <c r="O99" i="27" s="1"/>
  <c r="L99" i="27"/>
  <c r="M99" i="27" s="1"/>
  <c r="M19" i="27"/>
  <c r="N19" i="27" s="1"/>
  <c r="K19" i="27"/>
  <c r="L19" i="27" s="1"/>
  <c r="M17" i="31"/>
  <c r="N17" i="31" s="1"/>
  <c r="K17" i="31"/>
  <c r="L17" i="31" s="1"/>
  <c r="W34" i="17"/>
  <c r="P34" i="17"/>
  <c r="P154" i="31"/>
  <c r="O154" i="31"/>
  <c r="M154" i="31"/>
  <c r="P153" i="31"/>
  <c r="O153" i="31"/>
  <c r="M153" i="31"/>
  <c r="P152" i="31"/>
  <c r="O152" i="31"/>
  <c r="M152" i="31"/>
  <c r="P151" i="31"/>
  <c r="O151" i="31"/>
  <c r="M151" i="31"/>
  <c r="P150" i="31"/>
  <c r="O150" i="31"/>
  <c r="M150" i="31"/>
  <c r="P149" i="31"/>
  <c r="O149" i="31"/>
  <c r="M149" i="31"/>
  <c r="P148" i="31"/>
  <c r="O148" i="31"/>
  <c r="M148" i="31"/>
  <c r="P147" i="31"/>
  <c r="O147" i="31"/>
  <c r="M147" i="31"/>
  <c r="P146" i="31"/>
  <c r="O146" i="31"/>
  <c r="M146" i="31"/>
  <c r="P145" i="31"/>
  <c r="O145" i="31"/>
  <c r="M145" i="31"/>
  <c r="P144" i="31"/>
  <c r="O144" i="31"/>
  <c r="M144" i="31"/>
  <c r="P143" i="31"/>
  <c r="O143" i="31"/>
  <c r="M143" i="31"/>
  <c r="P142" i="31"/>
  <c r="O142" i="31"/>
  <c r="M142" i="31"/>
  <c r="P141" i="31"/>
  <c r="O141" i="31"/>
  <c r="M141" i="31"/>
  <c r="P140" i="31"/>
  <c r="O140" i="31"/>
  <c r="M140" i="31"/>
  <c r="P139" i="31"/>
  <c r="O139" i="31"/>
  <c r="M139" i="31"/>
  <c r="P138" i="31"/>
  <c r="O138" i="31"/>
  <c r="M138" i="31"/>
  <c r="P137" i="31"/>
  <c r="O137" i="31"/>
  <c r="M137" i="31"/>
  <c r="P136" i="31"/>
  <c r="O136" i="31"/>
  <c r="M136" i="31"/>
  <c r="P135" i="31"/>
  <c r="O135" i="31"/>
  <c r="M135" i="31"/>
  <c r="P134" i="31"/>
  <c r="O134" i="31"/>
  <c r="M134" i="31"/>
  <c r="P133" i="31"/>
  <c r="O133" i="31"/>
  <c r="M133" i="31"/>
  <c r="P132" i="31"/>
  <c r="O132" i="31"/>
  <c r="M132" i="31"/>
  <c r="P131" i="31"/>
  <c r="O131" i="31"/>
  <c r="M131" i="31"/>
  <c r="O130" i="31"/>
  <c r="M130" i="31"/>
  <c r="O129" i="31"/>
  <c r="M129" i="31"/>
  <c r="O128" i="31"/>
  <c r="M128" i="31"/>
  <c r="O127" i="31"/>
  <c r="M127" i="31"/>
  <c r="O126" i="31"/>
  <c r="M126" i="31"/>
  <c r="O125" i="31"/>
  <c r="M125" i="31"/>
  <c r="O124" i="31"/>
  <c r="M124" i="31"/>
  <c r="O123" i="31"/>
  <c r="M123" i="31"/>
  <c r="O122" i="31"/>
  <c r="M122" i="31"/>
  <c r="O121" i="31"/>
  <c r="M121" i="31"/>
  <c r="O120" i="31"/>
  <c r="M120" i="31"/>
  <c r="O119" i="31"/>
  <c r="M119" i="31"/>
  <c r="O118" i="31"/>
  <c r="M118" i="31"/>
  <c r="O117" i="31"/>
  <c r="M117" i="31"/>
  <c r="O116" i="31"/>
  <c r="M116" i="31"/>
  <c r="O115" i="31"/>
  <c r="M115" i="31"/>
  <c r="O114" i="31"/>
  <c r="M114" i="31"/>
  <c r="O113" i="31"/>
  <c r="M113" i="31"/>
  <c r="O112" i="31"/>
  <c r="M112" i="31"/>
  <c r="O111" i="31"/>
  <c r="M111" i="31"/>
  <c r="O110" i="31"/>
  <c r="M110" i="31"/>
  <c r="O106" i="31"/>
  <c r="O105" i="31"/>
  <c r="O104" i="31"/>
  <c r="L93" i="31"/>
  <c r="J93" i="31"/>
  <c r="E91" i="31"/>
  <c r="D91" i="31"/>
  <c r="D89" i="31"/>
  <c r="N72" i="31"/>
  <c r="L72" i="31"/>
  <c r="N71" i="31"/>
  <c r="L71" i="31"/>
  <c r="N70" i="31"/>
  <c r="L70" i="31"/>
  <c r="N69" i="31"/>
  <c r="L69" i="31"/>
  <c r="N68" i="31"/>
  <c r="L68" i="31"/>
  <c r="N67" i="31"/>
  <c r="L67" i="31"/>
  <c r="N66" i="31"/>
  <c r="L66" i="31"/>
  <c r="N65" i="31"/>
  <c r="L65" i="31"/>
  <c r="N64" i="31"/>
  <c r="L64" i="31"/>
  <c r="N63" i="31"/>
  <c r="L63" i="31"/>
  <c r="N62" i="31"/>
  <c r="L62" i="31"/>
  <c r="N61" i="31"/>
  <c r="L61" i="31"/>
  <c r="N60" i="31"/>
  <c r="L60" i="31"/>
  <c r="N59" i="31"/>
  <c r="L59" i="31"/>
  <c r="N58" i="31"/>
  <c r="L58" i="31"/>
  <c r="N57" i="31"/>
  <c r="L57" i="31"/>
  <c r="N56" i="31"/>
  <c r="L56" i="31"/>
  <c r="N55" i="31"/>
  <c r="L55" i="31"/>
  <c r="N54" i="31"/>
  <c r="L54" i="31"/>
  <c r="N53" i="31"/>
  <c r="L53" i="31"/>
  <c r="N52" i="31"/>
  <c r="L52" i="31"/>
  <c r="N51" i="31"/>
  <c r="L51" i="31"/>
  <c r="N50" i="31"/>
  <c r="L50" i="31"/>
  <c r="N49" i="31"/>
  <c r="L49" i="31"/>
  <c r="N48" i="31"/>
  <c r="L48" i="31"/>
  <c r="N47" i="31"/>
  <c r="L47" i="31"/>
  <c r="N46" i="31"/>
  <c r="L46" i="31"/>
  <c r="N45" i="31"/>
  <c r="L45" i="31"/>
  <c r="N44" i="31"/>
  <c r="L44" i="31"/>
  <c r="N43" i="31"/>
  <c r="L43" i="31"/>
  <c r="N42" i="31"/>
  <c r="L42" i="31"/>
  <c r="N41" i="31"/>
  <c r="L41" i="31"/>
  <c r="N40" i="31"/>
  <c r="L40" i="31"/>
  <c r="N39" i="31"/>
  <c r="L39" i="31"/>
  <c r="N38" i="31"/>
  <c r="L38" i="31"/>
  <c r="N37" i="31"/>
  <c r="L37" i="31"/>
  <c r="N36" i="31"/>
  <c r="L36" i="31"/>
  <c r="N35" i="31"/>
  <c r="L35" i="31"/>
  <c r="N34" i="31"/>
  <c r="L34" i="31"/>
  <c r="N33" i="31"/>
  <c r="L33" i="31"/>
  <c r="N32" i="31"/>
  <c r="L32" i="31"/>
  <c r="N31" i="31"/>
  <c r="L31" i="31"/>
  <c r="N30" i="31"/>
  <c r="L30" i="31"/>
  <c r="N29" i="31"/>
  <c r="L29" i="31"/>
  <c r="N26" i="31"/>
  <c r="N25" i="31"/>
  <c r="N24" i="31"/>
  <c r="N23" i="31"/>
  <c r="N22" i="31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11" i="31"/>
  <c r="I11" i="31"/>
  <c r="P1" i="31"/>
  <c r="P83" i="31" s="1"/>
  <c r="P154" i="30"/>
  <c r="O154" i="30"/>
  <c r="M154" i="30"/>
  <c r="P153" i="30"/>
  <c r="O153" i="30"/>
  <c r="M153" i="30"/>
  <c r="P152" i="30"/>
  <c r="O152" i="30"/>
  <c r="M152" i="30"/>
  <c r="P151" i="30"/>
  <c r="O151" i="30"/>
  <c r="M151" i="30"/>
  <c r="P150" i="30"/>
  <c r="O150" i="30"/>
  <c r="M150" i="30"/>
  <c r="P149" i="30"/>
  <c r="O149" i="30"/>
  <c r="M149" i="30"/>
  <c r="P148" i="30"/>
  <c r="O148" i="30"/>
  <c r="M148" i="30"/>
  <c r="P147" i="30"/>
  <c r="O147" i="30"/>
  <c r="M147" i="30"/>
  <c r="P146" i="30"/>
  <c r="O146" i="30"/>
  <c r="M146" i="30"/>
  <c r="P145" i="30"/>
  <c r="O145" i="30"/>
  <c r="M145" i="30"/>
  <c r="P144" i="30"/>
  <c r="O144" i="30"/>
  <c r="M144" i="30"/>
  <c r="P143" i="30"/>
  <c r="O143" i="30"/>
  <c r="M143" i="30"/>
  <c r="P142" i="30"/>
  <c r="O142" i="30"/>
  <c r="M142" i="30"/>
  <c r="P141" i="30"/>
  <c r="O141" i="30"/>
  <c r="M141" i="30"/>
  <c r="P140" i="30"/>
  <c r="O140" i="30"/>
  <c r="M140" i="30"/>
  <c r="P139" i="30"/>
  <c r="O139" i="30"/>
  <c r="M139" i="30"/>
  <c r="P138" i="30"/>
  <c r="O138" i="30"/>
  <c r="M138" i="30"/>
  <c r="P137" i="30"/>
  <c r="O137" i="30"/>
  <c r="M137" i="30"/>
  <c r="P136" i="30"/>
  <c r="O136" i="30"/>
  <c r="M136" i="30"/>
  <c r="P135" i="30"/>
  <c r="O135" i="30"/>
  <c r="M135" i="30"/>
  <c r="P134" i="30"/>
  <c r="O134" i="30"/>
  <c r="M134" i="30"/>
  <c r="P133" i="30"/>
  <c r="O133" i="30"/>
  <c r="M133" i="30"/>
  <c r="P132" i="30"/>
  <c r="O132" i="30"/>
  <c r="M132" i="30"/>
  <c r="P131" i="30"/>
  <c r="O131" i="30"/>
  <c r="M131" i="30"/>
  <c r="O130" i="30"/>
  <c r="M130" i="30"/>
  <c r="O129" i="30"/>
  <c r="M129" i="30"/>
  <c r="O128" i="30"/>
  <c r="M128" i="30"/>
  <c r="O127" i="30"/>
  <c r="M127" i="30"/>
  <c r="O126" i="30"/>
  <c r="M126" i="30"/>
  <c r="O125" i="30"/>
  <c r="M125" i="30"/>
  <c r="O124" i="30"/>
  <c r="M124" i="30"/>
  <c r="O123" i="30"/>
  <c r="M123" i="30"/>
  <c r="O122" i="30"/>
  <c r="M122" i="30"/>
  <c r="O121" i="30"/>
  <c r="M121" i="30"/>
  <c r="O120" i="30"/>
  <c r="M120" i="30"/>
  <c r="O119" i="30"/>
  <c r="M119" i="30"/>
  <c r="O118" i="30"/>
  <c r="M118" i="30"/>
  <c r="O117" i="30"/>
  <c r="M117" i="30"/>
  <c r="O116" i="30"/>
  <c r="M116" i="30"/>
  <c r="O115" i="30"/>
  <c r="M115" i="30"/>
  <c r="O114" i="30"/>
  <c r="M114" i="30"/>
  <c r="O113" i="30"/>
  <c r="M113" i="30"/>
  <c r="O112" i="30"/>
  <c r="M112" i="30"/>
  <c r="O111" i="30"/>
  <c r="M111" i="30"/>
  <c r="O110" i="30"/>
  <c r="M110" i="30"/>
  <c r="O109" i="30"/>
  <c r="M109" i="30"/>
  <c r="O105" i="30"/>
  <c r="O104" i="30"/>
  <c r="O103" i="30"/>
  <c r="D96" i="30"/>
  <c r="L93" i="30"/>
  <c r="J93" i="30"/>
  <c r="E91" i="30"/>
  <c r="D91" i="30"/>
  <c r="D89" i="30"/>
  <c r="N72" i="30"/>
  <c r="L72" i="30"/>
  <c r="N71" i="30"/>
  <c r="L71" i="30"/>
  <c r="N70" i="30"/>
  <c r="L70" i="30"/>
  <c r="N69" i="30"/>
  <c r="L69" i="30"/>
  <c r="N68" i="30"/>
  <c r="L68" i="30"/>
  <c r="N67" i="30"/>
  <c r="L67" i="30"/>
  <c r="N66" i="30"/>
  <c r="L66" i="30"/>
  <c r="N65" i="30"/>
  <c r="L65" i="30"/>
  <c r="N64" i="30"/>
  <c r="L64" i="30"/>
  <c r="N63" i="30"/>
  <c r="L63" i="30"/>
  <c r="N62" i="30"/>
  <c r="L62" i="30"/>
  <c r="N61" i="30"/>
  <c r="L61" i="30"/>
  <c r="N60" i="30"/>
  <c r="L60" i="30"/>
  <c r="N59" i="30"/>
  <c r="L59" i="30"/>
  <c r="N58" i="30"/>
  <c r="L58" i="30"/>
  <c r="N57" i="30"/>
  <c r="L57" i="30"/>
  <c r="N56" i="30"/>
  <c r="L56" i="30"/>
  <c r="N55" i="30"/>
  <c r="L55" i="30"/>
  <c r="N54" i="30"/>
  <c r="L54" i="30"/>
  <c r="N53" i="30"/>
  <c r="L53" i="30"/>
  <c r="N52" i="30"/>
  <c r="L52" i="30"/>
  <c r="N51" i="30"/>
  <c r="L51" i="30"/>
  <c r="N50" i="30"/>
  <c r="L50" i="30"/>
  <c r="N49" i="30"/>
  <c r="L49" i="30"/>
  <c r="N48" i="30"/>
  <c r="L48" i="30"/>
  <c r="N47" i="30"/>
  <c r="L47" i="30"/>
  <c r="N46" i="30"/>
  <c r="L46" i="30"/>
  <c r="N45" i="30"/>
  <c r="L45" i="30"/>
  <c r="N44" i="30"/>
  <c r="L44" i="30"/>
  <c r="N43" i="30"/>
  <c r="L43" i="30"/>
  <c r="N42" i="30"/>
  <c r="L42" i="30"/>
  <c r="N41" i="30"/>
  <c r="L41" i="30"/>
  <c r="N40" i="30"/>
  <c r="L40" i="30"/>
  <c r="N39" i="30"/>
  <c r="L39" i="30"/>
  <c r="N38" i="30"/>
  <c r="L38" i="30"/>
  <c r="N37" i="30"/>
  <c r="L37" i="30"/>
  <c r="N36" i="30"/>
  <c r="L36" i="30"/>
  <c r="N35" i="30"/>
  <c r="L35" i="30"/>
  <c r="N34" i="30"/>
  <c r="L34" i="30"/>
  <c r="N33" i="30"/>
  <c r="L33" i="30"/>
  <c r="N32" i="30"/>
  <c r="L32" i="30"/>
  <c r="N31" i="30"/>
  <c r="L31" i="30"/>
  <c r="N30" i="30"/>
  <c r="L30" i="30"/>
  <c r="N29" i="30"/>
  <c r="L29" i="30"/>
  <c r="N28" i="30"/>
  <c r="L28" i="30"/>
  <c r="N25" i="30"/>
  <c r="N24" i="30"/>
  <c r="N23" i="30"/>
  <c r="N22" i="30"/>
  <c r="N21" i="30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11" i="30"/>
  <c r="I11" i="30"/>
  <c r="D8" i="30"/>
  <c r="D90" i="30" s="1"/>
  <c r="P1" i="30"/>
  <c r="P83" i="30" s="1"/>
  <c r="M17" i="29"/>
  <c r="N17" i="29" s="1"/>
  <c r="K17" i="29"/>
  <c r="L17" i="29" s="1"/>
  <c r="M17" i="28"/>
  <c r="N17" i="28" s="1"/>
  <c r="K17" i="28"/>
  <c r="L17" i="28" s="1"/>
  <c r="N102" i="25"/>
  <c r="O102" i="25" s="1"/>
  <c r="L102" i="25"/>
  <c r="M102" i="25" s="1"/>
  <c r="M21" i="25"/>
  <c r="N21" i="25" s="1"/>
  <c r="K21" i="25"/>
  <c r="L21" i="25" s="1"/>
  <c r="N100" i="24"/>
  <c r="O100" i="24" s="1"/>
  <c r="L100" i="24"/>
  <c r="M100" i="24" s="1"/>
  <c r="M19" i="24"/>
  <c r="N19" i="24" s="1"/>
  <c r="K19" i="24"/>
  <c r="L19" i="24" s="1"/>
  <c r="N101" i="23"/>
  <c r="O101" i="23" s="1"/>
  <c r="L101" i="23"/>
  <c r="M101" i="23" s="1"/>
  <c r="M20" i="23"/>
  <c r="N20" i="23" s="1"/>
  <c r="K20" i="23"/>
  <c r="L20" i="23" s="1"/>
  <c r="N102" i="22"/>
  <c r="O102" i="22" s="1"/>
  <c r="L102" i="22"/>
  <c r="M102" i="22" s="1"/>
  <c r="M21" i="22"/>
  <c r="N21" i="22" s="1"/>
  <c r="K21" i="22"/>
  <c r="L21" i="22" s="1"/>
  <c r="N105" i="11"/>
  <c r="O105" i="11" s="1"/>
  <c r="L105" i="11"/>
  <c r="M105" i="11" s="1"/>
  <c r="M24" i="11"/>
  <c r="N24" i="11" s="1"/>
  <c r="K24" i="11"/>
  <c r="L24" i="11" s="1"/>
  <c r="N106" i="10"/>
  <c r="O106" i="10" s="1"/>
  <c r="L106" i="10"/>
  <c r="M106" i="10" s="1"/>
  <c r="M25" i="10"/>
  <c r="N25" i="10" s="1"/>
  <c r="K25" i="10"/>
  <c r="L25" i="10" s="1"/>
  <c r="N105" i="9"/>
  <c r="O105" i="9" s="1"/>
  <c r="L105" i="9"/>
  <c r="M105" i="9" s="1"/>
  <c r="M24" i="9"/>
  <c r="N24" i="9" s="1"/>
  <c r="K24" i="9"/>
  <c r="L24" i="9" s="1"/>
  <c r="N104" i="8"/>
  <c r="O104" i="8" s="1"/>
  <c r="L104" i="8"/>
  <c r="M104" i="8" s="1"/>
  <c r="M23" i="8"/>
  <c r="N23" i="8" s="1"/>
  <c r="K23" i="8"/>
  <c r="L23" i="8" s="1"/>
  <c r="N106" i="7"/>
  <c r="O106" i="7" s="1"/>
  <c r="L106" i="7"/>
  <c r="M106" i="7" s="1"/>
  <c r="M25" i="7"/>
  <c r="N25" i="7" s="1"/>
  <c r="K25" i="7"/>
  <c r="L25" i="7" s="1"/>
  <c r="N104" i="6"/>
  <c r="O104" i="6" s="1"/>
  <c r="L104" i="6"/>
  <c r="M104" i="6" s="1"/>
  <c r="M23" i="6"/>
  <c r="N23" i="6" s="1"/>
  <c r="K23" i="6"/>
  <c r="L23" i="6" s="1"/>
  <c r="N103" i="5"/>
  <c r="O103" i="5" s="1"/>
  <c r="L103" i="5"/>
  <c r="M103" i="5" s="1"/>
  <c r="M22" i="5"/>
  <c r="N22" i="5" s="1"/>
  <c r="K22" i="5"/>
  <c r="L22" i="5" s="1"/>
  <c r="N103" i="4"/>
  <c r="O103" i="4" s="1"/>
  <c r="L103" i="4"/>
  <c r="M103" i="4" s="1"/>
  <c r="M22" i="4"/>
  <c r="N22" i="4" s="1"/>
  <c r="K22" i="4"/>
  <c r="L22" i="4" s="1"/>
  <c r="N103" i="3"/>
  <c r="O103" i="3" s="1"/>
  <c r="L103" i="3"/>
  <c r="M103" i="3" s="1"/>
  <c r="M22" i="3"/>
  <c r="N22" i="3" s="1"/>
  <c r="K22" i="3"/>
  <c r="L22" i="3" s="1"/>
  <c r="D8" i="13"/>
  <c r="D90" i="13" s="1"/>
  <c r="P1" i="29"/>
  <c r="P83" i="29" s="1"/>
  <c r="P1" i="28"/>
  <c r="P83" i="28" s="1"/>
  <c r="P1" i="27"/>
  <c r="P83" i="27" s="1"/>
  <c r="D8" i="29"/>
  <c r="D90" i="29" s="1"/>
  <c r="D8" i="28"/>
  <c r="D90" i="28" s="1"/>
  <c r="D8" i="27"/>
  <c r="D90" i="27" s="1"/>
  <c r="D8" i="25"/>
  <c r="D90" i="25" s="1"/>
  <c r="D8" i="24"/>
  <c r="D90" i="24" s="1"/>
  <c r="D8" i="22"/>
  <c r="D90" i="22" s="1"/>
  <c r="D8" i="11"/>
  <c r="D90" i="11" s="1"/>
  <c r="D8" i="10"/>
  <c r="D90" i="10" s="1"/>
  <c r="E91" i="28"/>
  <c r="E91" i="29"/>
  <c r="W33" i="17"/>
  <c r="P33" i="17"/>
  <c r="W32" i="17"/>
  <c r="P32" i="17"/>
  <c r="N102" i="5"/>
  <c r="O102" i="5" s="1"/>
  <c r="L102" i="5"/>
  <c r="M102" i="5" s="1"/>
  <c r="P154" i="29"/>
  <c r="O154" i="29"/>
  <c r="M154" i="29"/>
  <c r="P153" i="29"/>
  <c r="O153" i="29"/>
  <c r="M153" i="29"/>
  <c r="P152" i="29"/>
  <c r="O152" i="29"/>
  <c r="M152" i="29"/>
  <c r="P151" i="29"/>
  <c r="O151" i="29"/>
  <c r="M151" i="29"/>
  <c r="P150" i="29"/>
  <c r="O150" i="29"/>
  <c r="M150" i="29"/>
  <c r="P149" i="29"/>
  <c r="O149" i="29"/>
  <c r="M149" i="29"/>
  <c r="P148" i="29"/>
  <c r="O148" i="29"/>
  <c r="M148" i="29"/>
  <c r="P147" i="29"/>
  <c r="O147" i="29"/>
  <c r="M147" i="29"/>
  <c r="P146" i="29"/>
  <c r="O146" i="29"/>
  <c r="M146" i="29"/>
  <c r="P145" i="29"/>
  <c r="O145" i="29"/>
  <c r="M145" i="29"/>
  <c r="P144" i="29"/>
  <c r="O144" i="29"/>
  <c r="M144" i="29"/>
  <c r="P143" i="29"/>
  <c r="O143" i="29"/>
  <c r="M143" i="29"/>
  <c r="P142" i="29"/>
  <c r="O142" i="29"/>
  <c r="M142" i="29"/>
  <c r="P141" i="29"/>
  <c r="O141" i="29"/>
  <c r="M141" i="29"/>
  <c r="P140" i="29"/>
  <c r="O140" i="29"/>
  <c r="M140" i="29"/>
  <c r="P139" i="29"/>
  <c r="O139" i="29"/>
  <c r="M139" i="29"/>
  <c r="P138" i="29"/>
  <c r="O138" i="29"/>
  <c r="M138" i="29"/>
  <c r="P137" i="29"/>
  <c r="O137" i="29"/>
  <c r="M137" i="29"/>
  <c r="P136" i="29"/>
  <c r="O136" i="29"/>
  <c r="M136" i="29"/>
  <c r="P135" i="29"/>
  <c r="O135" i="29"/>
  <c r="M135" i="29"/>
  <c r="P134" i="29"/>
  <c r="O134" i="29"/>
  <c r="M134" i="29"/>
  <c r="P133" i="29"/>
  <c r="O133" i="29"/>
  <c r="M133" i="29"/>
  <c r="P132" i="29"/>
  <c r="O132" i="29"/>
  <c r="M132" i="29"/>
  <c r="P131" i="29"/>
  <c r="O131" i="29"/>
  <c r="M131" i="29"/>
  <c r="O130" i="29"/>
  <c r="M130" i="29"/>
  <c r="O129" i="29"/>
  <c r="M129" i="29"/>
  <c r="O128" i="29"/>
  <c r="M128" i="29"/>
  <c r="O127" i="29"/>
  <c r="M127" i="29"/>
  <c r="O126" i="29"/>
  <c r="M126" i="29"/>
  <c r="O125" i="29"/>
  <c r="M125" i="29"/>
  <c r="O124" i="29"/>
  <c r="M124" i="29"/>
  <c r="O123" i="29"/>
  <c r="M123" i="29"/>
  <c r="O122" i="29"/>
  <c r="M122" i="29"/>
  <c r="O121" i="29"/>
  <c r="M121" i="29"/>
  <c r="O120" i="29"/>
  <c r="M120" i="29"/>
  <c r="O119" i="29"/>
  <c r="M119" i="29"/>
  <c r="O118" i="29"/>
  <c r="M118" i="29"/>
  <c r="O117" i="29"/>
  <c r="M117" i="29"/>
  <c r="O116" i="29"/>
  <c r="M116" i="29"/>
  <c r="O115" i="29"/>
  <c r="M115" i="29"/>
  <c r="O114" i="29"/>
  <c r="M114" i="29"/>
  <c r="O113" i="29"/>
  <c r="M113" i="29"/>
  <c r="O112" i="29"/>
  <c r="M112" i="29"/>
  <c r="O111" i="29"/>
  <c r="M111" i="29"/>
  <c r="O110" i="29"/>
  <c r="M110" i="29"/>
  <c r="O106" i="29"/>
  <c r="O105" i="29"/>
  <c r="O104" i="29"/>
  <c r="D96" i="29"/>
  <c r="L93" i="29"/>
  <c r="J93" i="29"/>
  <c r="D91" i="29"/>
  <c r="D89" i="29"/>
  <c r="N72" i="29"/>
  <c r="L72" i="29"/>
  <c r="N71" i="29"/>
  <c r="L71" i="29"/>
  <c r="N70" i="29"/>
  <c r="L70" i="29"/>
  <c r="N69" i="29"/>
  <c r="L69" i="29"/>
  <c r="N68" i="29"/>
  <c r="L68" i="29"/>
  <c r="N67" i="29"/>
  <c r="L67" i="29"/>
  <c r="N66" i="29"/>
  <c r="L66" i="29"/>
  <c r="N65" i="29"/>
  <c r="L65" i="29"/>
  <c r="N64" i="29"/>
  <c r="L64" i="29"/>
  <c r="N63" i="29"/>
  <c r="L63" i="29"/>
  <c r="N62" i="29"/>
  <c r="L62" i="29"/>
  <c r="N61" i="29"/>
  <c r="L61" i="29"/>
  <c r="N60" i="29"/>
  <c r="L60" i="29"/>
  <c r="N59" i="29"/>
  <c r="L59" i="29"/>
  <c r="N58" i="29"/>
  <c r="L58" i="29"/>
  <c r="N57" i="29"/>
  <c r="L57" i="29"/>
  <c r="N56" i="29"/>
  <c r="L56" i="29"/>
  <c r="N55" i="29"/>
  <c r="L55" i="29"/>
  <c r="N54" i="29"/>
  <c r="L54" i="29"/>
  <c r="N53" i="29"/>
  <c r="L53" i="29"/>
  <c r="N52" i="29"/>
  <c r="L52" i="29"/>
  <c r="N51" i="29"/>
  <c r="L51" i="29"/>
  <c r="N50" i="29"/>
  <c r="L50" i="29"/>
  <c r="N49" i="29"/>
  <c r="L49" i="29"/>
  <c r="N48" i="29"/>
  <c r="L48" i="29"/>
  <c r="N47" i="29"/>
  <c r="L47" i="29"/>
  <c r="N46" i="29"/>
  <c r="L46" i="29"/>
  <c r="N45" i="29"/>
  <c r="L45" i="29"/>
  <c r="N44" i="29"/>
  <c r="L44" i="29"/>
  <c r="N43" i="29"/>
  <c r="L43" i="29"/>
  <c r="N42" i="29"/>
  <c r="L42" i="29"/>
  <c r="N41" i="29"/>
  <c r="L41" i="29"/>
  <c r="N40" i="29"/>
  <c r="L40" i="29"/>
  <c r="N39" i="29"/>
  <c r="L39" i="29"/>
  <c r="N38" i="29"/>
  <c r="L38" i="29"/>
  <c r="N37" i="29"/>
  <c r="L37" i="29"/>
  <c r="N36" i="29"/>
  <c r="L36" i="29"/>
  <c r="N35" i="29"/>
  <c r="L35" i="29"/>
  <c r="N34" i="29"/>
  <c r="L34" i="29"/>
  <c r="N33" i="29"/>
  <c r="L33" i="29"/>
  <c r="N32" i="29"/>
  <c r="L32" i="29"/>
  <c r="N31" i="29"/>
  <c r="L31" i="29"/>
  <c r="N30" i="29"/>
  <c r="L30" i="29"/>
  <c r="N29" i="29"/>
  <c r="L29" i="29"/>
  <c r="N26" i="29"/>
  <c r="N25" i="29"/>
  <c r="N24" i="29"/>
  <c r="N23" i="29"/>
  <c r="N22" i="29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11" i="29"/>
  <c r="I11" i="29"/>
  <c r="P154" i="28"/>
  <c r="O154" i="28"/>
  <c r="M154" i="28"/>
  <c r="P153" i="28"/>
  <c r="O153" i="28"/>
  <c r="M153" i="28"/>
  <c r="P152" i="28"/>
  <c r="O152" i="28"/>
  <c r="M152" i="28"/>
  <c r="P151" i="28"/>
  <c r="O151" i="28"/>
  <c r="M151" i="28"/>
  <c r="P150" i="28"/>
  <c r="O150" i="28"/>
  <c r="M150" i="28"/>
  <c r="P149" i="28"/>
  <c r="O149" i="28"/>
  <c r="M149" i="28"/>
  <c r="P148" i="28"/>
  <c r="O148" i="28"/>
  <c r="M148" i="28"/>
  <c r="P147" i="28"/>
  <c r="O147" i="28"/>
  <c r="M147" i="28"/>
  <c r="P146" i="28"/>
  <c r="O146" i="28"/>
  <c r="M146" i="28"/>
  <c r="P145" i="28"/>
  <c r="O145" i="28"/>
  <c r="M145" i="28"/>
  <c r="P144" i="28"/>
  <c r="O144" i="28"/>
  <c r="M144" i="28"/>
  <c r="P143" i="28"/>
  <c r="O143" i="28"/>
  <c r="M143" i="28"/>
  <c r="P142" i="28"/>
  <c r="O142" i="28"/>
  <c r="M142" i="28"/>
  <c r="P141" i="28"/>
  <c r="O141" i="28"/>
  <c r="M141" i="28"/>
  <c r="P140" i="28"/>
  <c r="O140" i="28"/>
  <c r="M140" i="28"/>
  <c r="P139" i="28"/>
  <c r="O139" i="28"/>
  <c r="M139" i="28"/>
  <c r="P138" i="28"/>
  <c r="O138" i="28"/>
  <c r="M138" i="28"/>
  <c r="P137" i="28"/>
  <c r="O137" i="28"/>
  <c r="M137" i="28"/>
  <c r="P136" i="28"/>
  <c r="O136" i="28"/>
  <c r="M136" i="28"/>
  <c r="P135" i="28"/>
  <c r="O135" i="28"/>
  <c r="M135" i="28"/>
  <c r="P134" i="28"/>
  <c r="O134" i="28"/>
  <c r="M134" i="28"/>
  <c r="P133" i="28"/>
  <c r="O133" i="28"/>
  <c r="M133" i="28"/>
  <c r="P132" i="28"/>
  <c r="O132" i="28"/>
  <c r="M132" i="28"/>
  <c r="P131" i="28"/>
  <c r="O131" i="28"/>
  <c r="M131" i="28"/>
  <c r="O130" i="28"/>
  <c r="M130" i="28"/>
  <c r="O129" i="28"/>
  <c r="M129" i="28"/>
  <c r="O128" i="28"/>
  <c r="M128" i="28"/>
  <c r="O127" i="28"/>
  <c r="M127" i="28"/>
  <c r="O126" i="28"/>
  <c r="M126" i="28"/>
  <c r="O125" i="28"/>
  <c r="M125" i="28"/>
  <c r="O124" i="28"/>
  <c r="M124" i="28"/>
  <c r="O123" i="28"/>
  <c r="M123" i="28"/>
  <c r="O122" i="28"/>
  <c r="M122" i="28"/>
  <c r="O121" i="28"/>
  <c r="M121" i="28"/>
  <c r="O120" i="28"/>
  <c r="M120" i="28"/>
  <c r="O119" i="28"/>
  <c r="M119" i="28"/>
  <c r="O118" i="28"/>
  <c r="M118" i="28"/>
  <c r="O117" i="28"/>
  <c r="M117" i="28"/>
  <c r="O116" i="28"/>
  <c r="M116" i="28"/>
  <c r="O115" i="28"/>
  <c r="M115" i="28"/>
  <c r="O114" i="28"/>
  <c r="M114" i="28"/>
  <c r="O113" i="28"/>
  <c r="M113" i="28"/>
  <c r="O112" i="28"/>
  <c r="M112" i="28"/>
  <c r="O111" i="28"/>
  <c r="M111" i="28"/>
  <c r="O110" i="28"/>
  <c r="M110" i="28"/>
  <c r="O106" i="28"/>
  <c r="O105" i="28"/>
  <c r="O104" i="28"/>
  <c r="D96" i="28"/>
  <c r="L93" i="28"/>
  <c r="J93" i="28"/>
  <c r="C99" i="28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1" i="28"/>
  <c r="D89" i="28"/>
  <c r="N72" i="28"/>
  <c r="L72" i="28"/>
  <c r="N71" i="28"/>
  <c r="L71" i="28"/>
  <c r="N70" i="28"/>
  <c r="L70" i="28"/>
  <c r="N69" i="28"/>
  <c r="L69" i="28"/>
  <c r="N68" i="28"/>
  <c r="L68" i="28"/>
  <c r="N67" i="28"/>
  <c r="L67" i="28"/>
  <c r="N66" i="28"/>
  <c r="L66" i="28"/>
  <c r="N65" i="28"/>
  <c r="L65" i="28"/>
  <c r="N64" i="28"/>
  <c r="L64" i="28"/>
  <c r="N63" i="28"/>
  <c r="L63" i="28"/>
  <c r="N62" i="28"/>
  <c r="L62" i="28"/>
  <c r="N61" i="28"/>
  <c r="L61" i="28"/>
  <c r="N60" i="28"/>
  <c r="L60" i="28"/>
  <c r="N59" i="28"/>
  <c r="L59" i="28"/>
  <c r="N58" i="28"/>
  <c r="L58" i="28"/>
  <c r="N57" i="28"/>
  <c r="L57" i="28"/>
  <c r="N56" i="28"/>
  <c r="L56" i="28"/>
  <c r="N55" i="28"/>
  <c r="L55" i="28"/>
  <c r="N54" i="28"/>
  <c r="L54" i="28"/>
  <c r="N53" i="28"/>
  <c r="L53" i="28"/>
  <c r="N52" i="28"/>
  <c r="L52" i="28"/>
  <c r="N51" i="28"/>
  <c r="L51" i="28"/>
  <c r="N50" i="28"/>
  <c r="L50" i="28"/>
  <c r="N49" i="28"/>
  <c r="L49" i="28"/>
  <c r="N48" i="28"/>
  <c r="L48" i="28"/>
  <c r="N47" i="28"/>
  <c r="L47" i="28"/>
  <c r="N46" i="28"/>
  <c r="L46" i="28"/>
  <c r="N45" i="28"/>
  <c r="L45" i="28"/>
  <c r="N44" i="28"/>
  <c r="L44" i="28"/>
  <c r="N43" i="28"/>
  <c r="L43" i="28"/>
  <c r="N42" i="28"/>
  <c r="L42" i="28"/>
  <c r="N41" i="28"/>
  <c r="L41" i="28"/>
  <c r="N40" i="28"/>
  <c r="L40" i="28"/>
  <c r="N39" i="28"/>
  <c r="L39" i="28"/>
  <c r="N38" i="28"/>
  <c r="L38" i="28"/>
  <c r="N37" i="28"/>
  <c r="L37" i="28"/>
  <c r="N36" i="28"/>
  <c r="L36" i="28"/>
  <c r="N35" i="28"/>
  <c r="L35" i="28"/>
  <c r="N34" i="28"/>
  <c r="L34" i="28"/>
  <c r="N33" i="28"/>
  <c r="L33" i="28"/>
  <c r="N32" i="28"/>
  <c r="L32" i="28"/>
  <c r="N31" i="28"/>
  <c r="L31" i="28"/>
  <c r="N30" i="28"/>
  <c r="L30" i="28"/>
  <c r="N29" i="28"/>
  <c r="L29" i="28"/>
  <c r="N26" i="28"/>
  <c r="N25" i="28"/>
  <c r="N24" i="28"/>
  <c r="N23" i="28"/>
  <c r="N22" i="28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11" i="28"/>
  <c r="I11" i="28"/>
  <c r="D94" i="27"/>
  <c r="M17" i="27"/>
  <c r="N17" i="27" s="1"/>
  <c r="K17" i="27"/>
  <c r="L17" i="27" s="1"/>
  <c r="N101" i="25"/>
  <c r="O101" i="25" s="1"/>
  <c r="L101" i="25"/>
  <c r="M101" i="25" s="1"/>
  <c r="N100" i="25"/>
  <c r="O100" i="25" s="1"/>
  <c r="L100" i="25"/>
  <c r="M100" i="25" s="1"/>
  <c r="N99" i="25"/>
  <c r="O99" i="25" s="1"/>
  <c r="L99" i="25"/>
  <c r="M99" i="25" s="1"/>
  <c r="M20" i="25"/>
  <c r="N20" i="25" s="1"/>
  <c r="K20" i="25"/>
  <c r="L20" i="25" s="1"/>
  <c r="D92" i="24"/>
  <c r="N100" i="23"/>
  <c r="O100" i="23" s="1"/>
  <c r="L100" i="23"/>
  <c r="M100" i="23" s="1"/>
  <c r="M19" i="23"/>
  <c r="N19" i="23" s="1"/>
  <c r="K19" i="23"/>
  <c r="L19" i="23" s="1"/>
  <c r="N101" i="22"/>
  <c r="O101" i="22" s="1"/>
  <c r="L101" i="22"/>
  <c r="M101" i="22" s="1"/>
  <c r="M20" i="22"/>
  <c r="N20" i="22" s="1"/>
  <c r="K20" i="22"/>
  <c r="L20" i="22" s="1"/>
  <c r="N104" i="11"/>
  <c r="O104" i="11" s="1"/>
  <c r="L104" i="11"/>
  <c r="M104" i="11" s="1"/>
  <c r="M23" i="11"/>
  <c r="N23" i="11" s="1"/>
  <c r="K23" i="11"/>
  <c r="L23" i="11" s="1"/>
  <c r="N105" i="10"/>
  <c r="O105" i="10" s="1"/>
  <c r="L105" i="10"/>
  <c r="M105" i="10" s="1"/>
  <c r="M24" i="10"/>
  <c r="N24" i="10" s="1"/>
  <c r="K24" i="10"/>
  <c r="L24" i="10" s="1"/>
  <c r="N104" i="9"/>
  <c r="O104" i="9" s="1"/>
  <c r="L104" i="9"/>
  <c r="M104" i="9" s="1"/>
  <c r="M23" i="9"/>
  <c r="N23" i="9" s="1"/>
  <c r="K23" i="9"/>
  <c r="L23" i="9" s="1"/>
  <c r="N103" i="8"/>
  <c r="O103" i="8" s="1"/>
  <c r="L103" i="8"/>
  <c r="M103" i="8" s="1"/>
  <c r="M22" i="8"/>
  <c r="N22" i="8" s="1"/>
  <c r="K22" i="8"/>
  <c r="L22" i="8" s="1"/>
  <c r="N105" i="7"/>
  <c r="O105" i="7" s="1"/>
  <c r="L105" i="7"/>
  <c r="M105" i="7" s="1"/>
  <c r="M24" i="7"/>
  <c r="N24" i="7" s="1"/>
  <c r="K24" i="7"/>
  <c r="L24" i="7" s="1"/>
  <c r="N103" i="6"/>
  <c r="O103" i="6" s="1"/>
  <c r="L103" i="6"/>
  <c r="M103" i="6" s="1"/>
  <c r="M22" i="6"/>
  <c r="N22" i="6" s="1"/>
  <c r="K22" i="6"/>
  <c r="L22" i="6" s="1"/>
  <c r="M21" i="5"/>
  <c r="N21" i="5" s="1"/>
  <c r="K21" i="5"/>
  <c r="L21" i="5" s="1"/>
  <c r="N102" i="4"/>
  <c r="O102" i="4" s="1"/>
  <c r="L102" i="4"/>
  <c r="M102" i="4" s="1"/>
  <c r="M21" i="4"/>
  <c r="N21" i="4" s="1"/>
  <c r="K21" i="4"/>
  <c r="L21" i="4" s="1"/>
  <c r="N102" i="3"/>
  <c r="O102" i="3" s="1"/>
  <c r="L102" i="3"/>
  <c r="M102" i="3" s="1"/>
  <c r="M21" i="3"/>
  <c r="N21" i="3" s="1"/>
  <c r="K21" i="3"/>
  <c r="L21" i="3" s="1"/>
  <c r="P86" i="6"/>
  <c r="O5" i="6"/>
  <c r="P87" i="6" s="1"/>
  <c r="J153" i="25"/>
  <c r="J154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M19" i="25"/>
  <c r="N19" i="25" s="1"/>
  <c r="M18" i="25"/>
  <c r="N18" i="25" s="1"/>
  <c r="K19" i="25"/>
  <c r="L19" i="25" s="1"/>
  <c r="K18" i="25"/>
  <c r="L18" i="25" s="1"/>
  <c r="I19" i="25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W31" i="17"/>
  <c r="P31" i="17"/>
  <c r="P154" i="27"/>
  <c r="O154" i="27"/>
  <c r="M154" i="27"/>
  <c r="P153" i="27"/>
  <c r="O153" i="27"/>
  <c r="M153" i="27"/>
  <c r="P152" i="27"/>
  <c r="O152" i="27"/>
  <c r="M152" i="27"/>
  <c r="P151" i="27"/>
  <c r="O151" i="27"/>
  <c r="M151" i="27"/>
  <c r="P150" i="27"/>
  <c r="O150" i="27"/>
  <c r="M150" i="27"/>
  <c r="P149" i="27"/>
  <c r="O149" i="27"/>
  <c r="M149" i="27"/>
  <c r="P148" i="27"/>
  <c r="O148" i="27"/>
  <c r="M148" i="27"/>
  <c r="P147" i="27"/>
  <c r="O147" i="27"/>
  <c r="M147" i="27"/>
  <c r="P146" i="27"/>
  <c r="O146" i="27"/>
  <c r="M146" i="27"/>
  <c r="P145" i="27"/>
  <c r="O145" i="27"/>
  <c r="M145" i="27"/>
  <c r="P144" i="27"/>
  <c r="O144" i="27"/>
  <c r="M144" i="27"/>
  <c r="P143" i="27"/>
  <c r="O143" i="27"/>
  <c r="M143" i="27"/>
  <c r="P142" i="27"/>
  <c r="O142" i="27"/>
  <c r="M142" i="27"/>
  <c r="P141" i="27"/>
  <c r="O141" i="27"/>
  <c r="M141" i="27"/>
  <c r="P140" i="27"/>
  <c r="O140" i="27"/>
  <c r="M140" i="27"/>
  <c r="P139" i="27"/>
  <c r="O139" i="27"/>
  <c r="M139" i="27"/>
  <c r="P138" i="27"/>
  <c r="O138" i="27"/>
  <c r="M138" i="27"/>
  <c r="P137" i="27"/>
  <c r="O137" i="27"/>
  <c r="M137" i="27"/>
  <c r="P136" i="27"/>
  <c r="O136" i="27"/>
  <c r="M136" i="27"/>
  <c r="P135" i="27"/>
  <c r="O135" i="27"/>
  <c r="M135" i="27"/>
  <c r="P134" i="27"/>
  <c r="O134" i="27"/>
  <c r="M134" i="27"/>
  <c r="P133" i="27"/>
  <c r="O133" i="27"/>
  <c r="M133" i="27"/>
  <c r="P132" i="27"/>
  <c r="O132" i="27"/>
  <c r="M132" i="27"/>
  <c r="P131" i="27"/>
  <c r="O131" i="27"/>
  <c r="M131" i="27"/>
  <c r="O130" i="27"/>
  <c r="M130" i="27"/>
  <c r="O129" i="27"/>
  <c r="M129" i="27"/>
  <c r="O128" i="27"/>
  <c r="M128" i="27"/>
  <c r="O127" i="27"/>
  <c r="M127" i="27"/>
  <c r="O126" i="27"/>
  <c r="M126" i="27"/>
  <c r="O125" i="27"/>
  <c r="M125" i="27"/>
  <c r="O124" i="27"/>
  <c r="M124" i="27"/>
  <c r="O123" i="27"/>
  <c r="M123" i="27"/>
  <c r="O122" i="27"/>
  <c r="M122" i="27"/>
  <c r="O121" i="27"/>
  <c r="M121" i="27"/>
  <c r="O120" i="27"/>
  <c r="M120" i="27"/>
  <c r="O119" i="27"/>
  <c r="M119" i="27"/>
  <c r="O118" i="27"/>
  <c r="M118" i="27"/>
  <c r="O117" i="27"/>
  <c r="M117" i="27"/>
  <c r="O116" i="27"/>
  <c r="M116" i="27"/>
  <c r="O115" i="27"/>
  <c r="M115" i="27"/>
  <c r="O114" i="27"/>
  <c r="M114" i="27"/>
  <c r="O113" i="27"/>
  <c r="M113" i="27"/>
  <c r="O112" i="27"/>
  <c r="M112" i="27"/>
  <c r="O111" i="27"/>
  <c r="M111" i="27"/>
  <c r="O107" i="27"/>
  <c r="O106" i="27"/>
  <c r="O105" i="27"/>
  <c r="D96" i="27"/>
  <c r="L93" i="27"/>
  <c r="J93" i="27"/>
  <c r="D91" i="27"/>
  <c r="D89" i="27"/>
  <c r="N72" i="27"/>
  <c r="L72" i="27"/>
  <c r="N71" i="27"/>
  <c r="L71" i="27"/>
  <c r="N70" i="27"/>
  <c r="L70" i="27"/>
  <c r="N69" i="27"/>
  <c r="L69" i="27"/>
  <c r="N68" i="27"/>
  <c r="L68" i="27"/>
  <c r="N67" i="27"/>
  <c r="L67" i="27"/>
  <c r="N66" i="27"/>
  <c r="L66" i="27"/>
  <c r="N65" i="27"/>
  <c r="L65" i="27"/>
  <c r="N64" i="27"/>
  <c r="L64" i="27"/>
  <c r="N63" i="27"/>
  <c r="L63" i="27"/>
  <c r="N62" i="27"/>
  <c r="L62" i="27"/>
  <c r="N61" i="27"/>
  <c r="L61" i="27"/>
  <c r="N60" i="27"/>
  <c r="L60" i="27"/>
  <c r="N59" i="27"/>
  <c r="L59" i="27"/>
  <c r="N58" i="27"/>
  <c r="L58" i="27"/>
  <c r="N57" i="27"/>
  <c r="L57" i="27"/>
  <c r="N56" i="27"/>
  <c r="L56" i="27"/>
  <c r="N55" i="27"/>
  <c r="L55" i="27"/>
  <c r="N54" i="27"/>
  <c r="L54" i="27"/>
  <c r="N53" i="27"/>
  <c r="L53" i="27"/>
  <c r="N52" i="27"/>
  <c r="L52" i="27"/>
  <c r="N51" i="27"/>
  <c r="L51" i="27"/>
  <c r="N50" i="27"/>
  <c r="L50" i="27"/>
  <c r="N49" i="27"/>
  <c r="L49" i="27"/>
  <c r="N48" i="27"/>
  <c r="L48" i="27"/>
  <c r="N47" i="27"/>
  <c r="L47" i="27"/>
  <c r="N46" i="27"/>
  <c r="L46" i="27"/>
  <c r="N45" i="27"/>
  <c r="L45" i="27"/>
  <c r="N44" i="27"/>
  <c r="L44" i="27"/>
  <c r="N43" i="27"/>
  <c r="L43" i="27"/>
  <c r="N42" i="27"/>
  <c r="L42" i="27"/>
  <c r="N41" i="27"/>
  <c r="L41" i="27"/>
  <c r="N40" i="27"/>
  <c r="L40" i="27"/>
  <c r="N39" i="27"/>
  <c r="L39" i="27"/>
  <c r="N38" i="27"/>
  <c r="L38" i="27"/>
  <c r="N37" i="27"/>
  <c r="L37" i="27"/>
  <c r="N36" i="27"/>
  <c r="L36" i="27"/>
  <c r="N35" i="27"/>
  <c r="L35" i="27"/>
  <c r="N34" i="27"/>
  <c r="L34" i="27"/>
  <c r="N33" i="27"/>
  <c r="L33" i="27"/>
  <c r="N32" i="27"/>
  <c r="L32" i="27"/>
  <c r="N31" i="27"/>
  <c r="L31" i="27"/>
  <c r="N30" i="27"/>
  <c r="L30" i="27"/>
  <c r="N27" i="27"/>
  <c r="N26" i="27"/>
  <c r="N25" i="27"/>
  <c r="N24" i="27"/>
  <c r="N23" i="27"/>
  <c r="O23" i="27" s="1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11" i="27"/>
  <c r="I11" i="27"/>
  <c r="M17" i="25"/>
  <c r="N17" i="25" s="1"/>
  <c r="K17" i="25"/>
  <c r="L17" i="25" s="1"/>
  <c r="M17" i="24"/>
  <c r="N17" i="24" s="1"/>
  <c r="K17" i="24"/>
  <c r="L17" i="24" s="1"/>
  <c r="N99" i="23"/>
  <c r="O99" i="23" s="1"/>
  <c r="L99" i="23"/>
  <c r="M99" i="23" s="1"/>
  <c r="M18" i="23"/>
  <c r="N18" i="23" s="1"/>
  <c r="K18" i="23"/>
  <c r="L18" i="23" s="1"/>
  <c r="N100" i="22"/>
  <c r="O100" i="22" s="1"/>
  <c r="L100" i="22"/>
  <c r="M100" i="22" s="1"/>
  <c r="M19" i="22"/>
  <c r="N19" i="22" s="1"/>
  <c r="K19" i="22"/>
  <c r="L19" i="22" s="1"/>
  <c r="N103" i="11"/>
  <c r="O103" i="11" s="1"/>
  <c r="L103" i="11"/>
  <c r="M103" i="11" s="1"/>
  <c r="M22" i="11"/>
  <c r="N22" i="11" s="1"/>
  <c r="K22" i="11"/>
  <c r="L22" i="11" s="1"/>
  <c r="N104" i="10"/>
  <c r="O104" i="10" s="1"/>
  <c r="L104" i="10"/>
  <c r="M104" i="10" s="1"/>
  <c r="M23" i="10"/>
  <c r="N23" i="10" s="1"/>
  <c r="K23" i="10"/>
  <c r="L23" i="10" s="1"/>
  <c r="N103" i="9"/>
  <c r="O103" i="9" s="1"/>
  <c r="L103" i="9"/>
  <c r="M103" i="9" s="1"/>
  <c r="M22" i="9"/>
  <c r="N22" i="9" s="1"/>
  <c r="K22" i="9"/>
  <c r="L22" i="9" s="1"/>
  <c r="N102" i="8"/>
  <c r="O102" i="8" s="1"/>
  <c r="L102" i="8"/>
  <c r="M102" i="8" s="1"/>
  <c r="M21" i="8"/>
  <c r="N21" i="8" s="1"/>
  <c r="K21" i="8"/>
  <c r="L21" i="8" s="1"/>
  <c r="N104" i="7"/>
  <c r="O104" i="7" s="1"/>
  <c r="L104" i="7"/>
  <c r="M104" i="7" s="1"/>
  <c r="M23" i="7"/>
  <c r="N23" i="7" s="1"/>
  <c r="K23" i="7"/>
  <c r="L23" i="7" s="1"/>
  <c r="N102" i="6"/>
  <c r="O102" i="6" s="1"/>
  <c r="L102" i="6"/>
  <c r="M102" i="6" s="1"/>
  <c r="M21" i="6"/>
  <c r="N21" i="6" s="1"/>
  <c r="K21" i="6"/>
  <c r="L21" i="6" s="1"/>
  <c r="N101" i="5"/>
  <c r="O101" i="5" s="1"/>
  <c r="L101" i="5"/>
  <c r="M101" i="5" s="1"/>
  <c r="M20" i="5"/>
  <c r="N20" i="5" s="1"/>
  <c r="K20" i="5"/>
  <c r="L20" i="5" s="1"/>
  <c r="N101" i="4"/>
  <c r="O101" i="4" s="1"/>
  <c r="L101" i="4"/>
  <c r="M101" i="4" s="1"/>
  <c r="M20" i="4"/>
  <c r="N20" i="4" s="1"/>
  <c r="K20" i="4"/>
  <c r="L20" i="4" s="1"/>
  <c r="N101" i="3"/>
  <c r="O101" i="3" s="1"/>
  <c r="L101" i="3"/>
  <c r="M101" i="3" s="1"/>
  <c r="M20" i="3"/>
  <c r="N20" i="3" s="1"/>
  <c r="K20" i="3"/>
  <c r="L20" i="3" s="1"/>
  <c r="I10" i="45"/>
  <c r="F81" i="2"/>
  <c r="J94" i="57" s="1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K19" i="3"/>
  <c r="L19" i="3" s="1"/>
  <c r="P18" i="17"/>
  <c r="C17" i="4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K19" i="4"/>
  <c r="L19" i="4" s="1"/>
  <c r="P19" i="17"/>
  <c r="C17" i="5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K19" i="5"/>
  <c r="L19" i="5" s="1"/>
  <c r="P20" i="17"/>
  <c r="C17" i="6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K20" i="6"/>
  <c r="L20" i="6" s="1"/>
  <c r="P21" i="17"/>
  <c r="C17" i="7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K22" i="7"/>
  <c r="L22" i="7" s="1"/>
  <c r="P22" i="17"/>
  <c r="C17" i="8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K20" i="8"/>
  <c r="L20" i="8" s="1"/>
  <c r="P23" i="17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K21" i="9"/>
  <c r="L21" i="9" s="1"/>
  <c r="P24" i="17"/>
  <c r="C17" i="10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K22" i="10"/>
  <c r="L22" i="10" s="1"/>
  <c r="P25" i="17"/>
  <c r="C17" i="1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K21" i="11"/>
  <c r="L21" i="11" s="1"/>
  <c r="P26" i="17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K18" i="22"/>
  <c r="L18" i="22" s="1"/>
  <c r="P27" i="17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17" i="23"/>
  <c r="L17" i="23" s="1"/>
  <c r="P28" i="17"/>
  <c r="P29" i="17"/>
  <c r="P30" i="17"/>
  <c r="W29" i="17"/>
  <c r="W30" i="17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M19" i="3"/>
  <c r="N19" i="3" s="1"/>
  <c r="M19" i="4"/>
  <c r="N19" i="4" s="1"/>
  <c r="M19" i="5"/>
  <c r="N19" i="5" s="1"/>
  <c r="M20" i="6"/>
  <c r="N20" i="6" s="1"/>
  <c r="M22" i="7"/>
  <c r="N22" i="7" s="1"/>
  <c r="M20" i="8"/>
  <c r="N20" i="8" s="1"/>
  <c r="M21" i="9"/>
  <c r="N21" i="9" s="1"/>
  <c r="M22" i="10"/>
  <c r="N22" i="10" s="1"/>
  <c r="M21" i="11"/>
  <c r="N21" i="11" s="1"/>
  <c r="M18" i="22"/>
  <c r="N18" i="22" s="1"/>
  <c r="M17" i="23"/>
  <c r="N17" i="23" s="1"/>
  <c r="F81" i="1"/>
  <c r="I12" i="57" s="1"/>
  <c r="F90" i="1"/>
  <c r="P1" i="25"/>
  <c r="P83" i="25" s="1"/>
  <c r="I11" i="25"/>
  <c r="K11" i="25"/>
  <c r="N27" i="25"/>
  <c r="N28" i="25"/>
  <c r="N29" i="25"/>
  <c r="N30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P131" i="25"/>
  <c r="M132" i="25"/>
  <c r="P132" i="25"/>
  <c r="M133" i="25"/>
  <c r="P133" i="25"/>
  <c r="M134" i="25"/>
  <c r="P134" i="25"/>
  <c r="M135" i="25"/>
  <c r="P135" i="25"/>
  <c r="M136" i="25"/>
  <c r="P136" i="25"/>
  <c r="M137" i="25"/>
  <c r="P137" i="25"/>
  <c r="M138" i="25"/>
  <c r="P138" i="25"/>
  <c r="M139" i="25"/>
  <c r="P139" i="25"/>
  <c r="M140" i="25"/>
  <c r="P140" i="25"/>
  <c r="M141" i="25"/>
  <c r="P141" i="25"/>
  <c r="M142" i="25"/>
  <c r="P142" i="25"/>
  <c r="M143" i="25"/>
  <c r="P143" i="25"/>
  <c r="M144" i="25"/>
  <c r="P144" i="25"/>
  <c r="M145" i="25"/>
  <c r="P145" i="25"/>
  <c r="M146" i="25"/>
  <c r="P146" i="25"/>
  <c r="M147" i="25"/>
  <c r="P147" i="25"/>
  <c r="M148" i="25"/>
  <c r="P148" i="25"/>
  <c r="M149" i="25"/>
  <c r="P149" i="25"/>
  <c r="M150" i="25"/>
  <c r="P150" i="25"/>
  <c r="M151" i="25"/>
  <c r="P151" i="25"/>
  <c r="M152" i="25"/>
  <c r="P152" i="25"/>
  <c r="M153" i="25"/>
  <c r="P153" i="25"/>
  <c r="M154" i="25"/>
  <c r="P154" i="25"/>
  <c r="N99" i="22"/>
  <c r="O99" i="22" s="1"/>
  <c r="L99" i="22"/>
  <c r="M99" i="22" s="1"/>
  <c r="N102" i="11"/>
  <c r="O102" i="11" s="1"/>
  <c r="L102" i="11"/>
  <c r="M102" i="11" s="1"/>
  <c r="N103" i="10"/>
  <c r="O103" i="10" s="1"/>
  <c r="L103" i="10"/>
  <c r="M103" i="10" s="1"/>
  <c r="N102" i="9"/>
  <c r="O102" i="9" s="1"/>
  <c r="L102" i="9"/>
  <c r="M102" i="9" s="1"/>
  <c r="N101" i="8"/>
  <c r="O101" i="8" s="1"/>
  <c r="L101" i="8"/>
  <c r="M101" i="8" s="1"/>
  <c r="N103" i="7"/>
  <c r="O103" i="7" s="1"/>
  <c r="L103" i="7"/>
  <c r="M103" i="7" s="1"/>
  <c r="N101" i="6"/>
  <c r="O101" i="6" s="1"/>
  <c r="L101" i="6"/>
  <c r="M101" i="6" s="1"/>
  <c r="N100" i="5"/>
  <c r="O100" i="5" s="1"/>
  <c r="L100" i="5"/>
  <c r="M100" i="5" s="1"/>
  <c r="N100" i="4"/>
  <c r="O100" i="4" s="1"/>
  <c r="L100" i="4"/>
  <c r="M100" i="4" s="1"/>
  <c r="P1" i="24"/>
  <c r="P83" i="24" s="1"/>
  <c r="I11" i="24"/>
  <c r="K11" i="24"/>
  <c r="N25" i="24"/>
  <c r="N26" i="24"/>
  <c r="N27" i="24"/>
  <c r="N28" i="24"/>
  <c r="L30" i="24"/>
  <c r="N30" i="24"/>
  <c r="L31" i="24"/>
  <c r="N31" i="24"/>
  <c r="L32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O106" i="24"/>
  <c r="O107" i="24"/>
  <c r="O108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P131" i="24"/>
  <c r="M132" i="24"/>
  <c r="O132" i="24"/>
  <c r="P132" i="24"/>
  <c r="M133" i="24"/>
  <c r="O133" i="24"/>
  <c r="P133" i="24"/>
  <c r="M134" i="24"/>
  <c r="O134" i="24"/>
  <c r="P134" i="24"/>
  <c r="M135" i="24"/>
  <c r="O135" i="24"/>
  <c r="P135" i="24"/>
  <c r="M136" i="24"/>
  <c r="O136" i="24"/>
  <c r="P136" i="24"/>
  <c r="M137" i="24"/>
  <c r="O137" i="24"/>
  <c r="P137" i="24"/>
  <c r="M138" i="24"/>
  <c r="O138" i="24"/>
  <c r="P138" i="24"/>
  <c r="M139" i="24"/>
  <c r="O139" i="24"/>
  <c r="P139" i="24"/>
  <c r="M140" i="24"/>
  <c r="O140" i="24"/>
  <c r="P140" i="24"/>
  <c r="M141" i="24"/>
  <c r="O141" i="24"/>
  <c r="P141" i="24"/>
  <c r="M142" i="24"/>
  <c r="O142" i="24"/>
  <c r="P142" i="24"/>
  <c r="M143" i="24"/>
  <c r="O143" i="24"/>
  <c r="P143" i="24"/>
  <c r="M144" i="24"/>
  <c r="O144" i="24"/>
  <c r="P144" i="24"/>
  <c r="M145" i="24"/>
  <c r="O145" i="24"/>
  <c r="P145" i="24"/>
  <c r="M146" i="24"/>
  <c r="O146" i="24"/>
  <c r="P146" i="24"/>
  <c r="J147" i="24"/>
  <c r="M147" i="24"/>
  <c r="O147" i="24"/>
  <c r="P147" i="24"/>
  <c r="J148" i="24"/>
  <c r="M148" i="24"/>
  <c r="O148" i="24"/>
  <c r="P148" i="24"/>
  <c r="J149" i="24"/>
  <c r="M149" i="24"/>
  <c r="O149" i="24"/>
  <c r="P149" i="24"/>
  <c r="J150" i="24"/>
  <c r="M150" i="24"/>
  <c r="O150" i="24"/>
  <c r="P150" i="24"/>
  <c r="J151" i="24"/>
  <c r="M151" i="24"/>
  <c r="O151" i="24"/>
  <c r="P151" i="24"/>
  <c r="J152" i="24"/>
  <c r="M152" i="24"/>
  <c r="O152" i="24"/>
  <c r="P152" i="24"/>
  <c r="J153" i="24"/>
  <c r="M153" i="24"/>
  <c r="O153" i="24"/>
  <c r="P153" i="24"/>
  <c r="J154" i="24"/>
  <c r="M154" i="24"/>
  <c r="O154" i="24"/>
  <c r="P154" i="24"/>
  <c r="N100" i="3"/>
  <c r="O100" i="3" s="1"/>
  <c r="L100" i="3"/>
  <c r="M100" i="3" s="1"/>
  <c r="M18" i="3"/>
  <c r="N18" i="3" s="1"/>
  <c r="K21" i="10"/>
  <c r="L21" i="10" s="1"/>
  <c r="K18" i="3"/>
  <c r="L18" i="3" s="1"/>
  <c r="K18" i="4"/>
  <c r="L18" i="4" s="1"/>
  <c r="K18" i="5"/>
  <c r="L18" i="5" s="1"/>
  <c r="K19" i="6"/>
  <c r="L19" i="6" s="1"/>
  <c r="K21" i="7"/>
  <c r="L21" i="7" s="1"/>
  <c r="K19" i="8"/>
  <c r="L19" i="8" s="1"/>
  <c r="K20" i="9"/>
  <c r="L20" i="9" s="1"/>
  <c r="K20" i="11"/>
  <c r="L20" i="11" s="1"/>
  <c r="K17" i="22"/>
  <c r="L17" i="22" s="1"/>
  <c r="W28" i="17"/>
  <c r="B19" i="23"/>
  <c r="I17" i="23"/>
  <c r="P1" i="23"/>
  <c r="P83" i="23" s="1"/>
  <c r="I11" i="23"/>
  <c r="K11" i="23"/>
  <c r="B18" i="23"/>
  <c r="N26" i="23"/>
  <c r="N27" i="23"/>
  <c r="N28" i="23"/>
  <c r="N29" i="23"/>
  <c r="N31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O107" i="23"/>
  <c r="O108" i="23"/>
  <c r="O109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J131" i="23"/>
  <c r="M131" i="23"/>
  <c r="O131" i="23"/>
  <c r="P131" i="23"/>
  <c r="J132" i="23"/>
  <c r="M132" i="23"/>
  <c r="O132" i="23"/>
  <c r="P132" i="23"/>
  <c r="J133" i="23"/>
  <c r="M133" i="23"/>
  <c r="O133" i="23"/>
  <c r="P133" i="23"/>
  <c r="J134" i="23"/>
  <c r="M134" i="23"/>
  <c r="O134" i="23"/>
  <c r="P134" i="23"/>
  <c r="J135" i="23"/>
  <c r="M135" i="23"/>
  <c r="O135" i="23"/>
  <c r="P135" i="23"/>
  <c r="J136" i="23"/>
  <c r="M136" i="23"/>
  <c r="O136" i="23"/>
  <c r="P136" i="23"/>
  <c r="J137" i="23"/>
  <c r="M137" i="23"/>
  <c r="O137" i="23"/>
  <c r="P137" i="23"/>
  <c r="J138" i="23"/>
  <c r="M138" i="23"/>
  <c r="O138" i="23"/>
  <c r="P138" i="23"/>
  <c r="J139" i="23"/>
  <c r="M139" i="23"/>
  <c r="O139" i="23"/>
  <c r="P139" i="23"/>
  <c r="J140" i="23"/>
  <c r="M140" i="23"/>
  <c r="O140" i="23"/>
  <c r="P140" i="23"/>
  <c r="J141" i="23"/>
  <c r="M141" i="23"/>
  <c r="O141" i="23"/>
  <c r="P141" i="23"/>
  <c r="J142" i="23"/>
  <c r="M142" i="23"/>
  <c r="O142" i="23"/>
  <c r="P142" i="23"/>
  <c r="J143" i="23"/>
  <c r="M143" i="23"/>
  <c r="O143" i="23"/>
  <c r="P143" i="23"/>
  <c r="J144" i="23"/>
  <c r="M144" i="23"/>
  <c r="O144" i="23"/>
  <c r="P144" i="23"/>
  <c r="J145" i="23"/>
  <c r="M145" i="23"/>
  <c r="O145" i="23"/>
  <c r="P145" i="23"/>
  <c r="J146" i="23"/>
  <c r="M146" i="23"/>
  <c r="O146" i="23"/>
  <c r="P146" i="23"/>
  <c r="J147" i="23"/>
  <c r="M147" i="23"/>
  <c r="O147" i="23"/>
  <c r="P147" i="23"/>
  <c r="J148" i="23"/>
  <c r="M148" i="23"/>
  <c r="O148" i="23"/>
  <c r="P148" i="23"/>
  <c r="J149" i="23"/>
  <c r="M149" i="23"/>
  <c r="O149" i="23"/>
  <c r="P149" i="23"/>
  <c r="J150" i="23"/>
  <c r="M150" i="23"/>
  <c r="O150" i="23"/>
  <c r="P150" i="23"/>
  <c r="J151" i="23"/>
  <c r="M151" i="23"/>
  <c r="O151" i="23"/>
  <c r="P151" i="23"/>
  <c r="J152" i="23"/>
  <c r="M152" i="23"/>
  <c r="O152" i="23"/>
  <c r="P152" i="23"/>
  <c r="J153" i="23"/>
  <c r="M153" i="23"/>
  <c r="O153" i="23"/>
  <c r="P153" i="23"/>
  <c r="J154" i="23"/>
  <c r="M154" i="23"/>
  <c r="O154" i="23"/>
  <c r="P154" i="23"/>
  <c r="M17" i="22"/>
  <c r="N17" i="22" s="1"/>
  <c r="N101" i="11"/>
  <c r="O101" i="11" s="1"/>
  <c r="L101" i="11"/>
  <c r="M101" i="11" s="1"/>
  <c r="M20" i="11"/>
  <c r="N20" i="11" s="1"/>
  <c r="M21" i="10"/>
  <c r="N21" i="10" s="1"/>
  <c r="N102" i="10"/>
  <c r="O102" i="10" s="1"/>
  <c r="L102" i="10"/>
  <c r="M102" i="10" s="1"/>
  <c r="M20" i="9"/>
  <c r="N20" i="9" s="1"/>
  <c r="N101" i="9"/>
  <c r="O101" i="9" s="1"/>
  <c r="L101" i="9"/>
  <c r="M101" i="9" s="1"/>
  <c r="N100" i="8"/>
  <c r="O100" i="8" s="1"/>
  <c r="L100" i="8"/>
  <c r="M100" i="8" s="1"/>
  <c r="M19" i="8"/>
  <c r="N19" i="8" s="1"/>
  <c r="N102" i="7"/>
  <c r="O102" i="7" s="1"/>
  <c r="L102" i="7"/>
  <c r="M102" i="7" s="1"/>
  <c r="M21" i="7"/>
  <c r="N21" i="7" s="1"/>
  <c r="N100" i="6"/>
  <c r="O100" i="6" s="1"/>
  <c r="L100" i="6"/>
  <c r="M100" i="6" s="1"/>
  <c r="M19" i="6"/>
  <c r="N19" i="6" s="1"/>
  <c r="N99" i="5"/>
  <c r="O99" i="5" s="1"/>
  <c r="L99" i="5"/>
  <c r="M99" i="5" s="1"/>
  <c r="M18" i="5"/>
  <c r="N18" i="5" s="1"/>
  <c r="N99" i="4"/>
  <c r="O99" i="4" s="1"/>
  <c r="L99" i="4"/>
  <c r="M99" i="4" s="1"/>
  <c r="M18" i="4"/>
  <c r="N18" i="4" s="1"/>
  <c r="N99" i="3"/>
  <c r="O99" i="3" s="1"/>
  <c r="L99" i="3"/>
  <c r="M99" i="3" s="1"/>
  <c r="L18" i="7"/>
  <c r="B100" i="7"/>
  <c r="B102" i="8"/>
  <c r="B101" i="8"/>
  <c r="B100" i="8"/>
  <c r="B103" i="9"/>
  <c r="B102" i="9"/>
  <c r="B101" i="9"/>
  <c r="B100" i="9"/>
  <c r="B104" i="10"/>
  <c r="B103" i="10"/>
  <c r="B102" i="10"/>
  <c r="B101" i="10"/>
  <c r="B100" i="10"/>
  <c r="B103" i="11"/>
  <c r="B102" i="11"/>
  <c r="B101" i="11"/>
  <c r="B100" i="11"/>
  <c r="B100" i="22"/>
  <c r="B104" i="7"/>
  <c r="B103" i="7"/>
  <c r="B20" i="8"/>
  <c r="B19" i="8"/>
  <c r="B18" i="8"/>
  <c r="B22" i="9"/>
  <c r="B21" i="9"/>
  <c r="B20" i="9"/>
  <c r="B19" i="9"/>
  <c r="B18" i="9"/>
  <c r="B23" i="10"/>
  <c r="B22" i="10"/>
  <c r="B21" i="10"/>
  <c r="B20" i="10"/>
  <c r="B19" i="10"/>
  <c r="B18" i="10"/>
  <c r="B22" i="11"/>
  <c r="B21" i="11"/>
  <c r="B20" i="11"/>
  <c r="B19" i="11"/>
  <c r="B18" i="11"/>
  <c r="B18" i="22"/>
  <c r="I14" i="13"/>
  <c r="B22" i="7"/>
  <c r="B101" i="4"/>
  <c r="B100" i="4"/>
  <c r="B101" i="5"/>
  <c r="B100" i="5"/>
  <c r="B101" i="3"/>
  <c r="B100" i="3"/>
  <c r="B20" i="4"/>
  <c r="B19" i="4"/>
  <c r="B18" i="4"/>
  <c r="B20" i="5"/>
  <c r="B19" i="5"/>
  <c r="B18" i="5"/>
  <c r="B19" i="3"/>
  <c r="B18" i="3"/>
  <c r="B18" i="6"/>
  <c r="B20" i="6"/>
  <c r="B19" i="6"/>
  <c r="B102" i="6"/>
  <c r="B101" i="6"/>
  <c r="B100" i="6"/>
  <c r="I18" i="3"/>
  <c r="I19" i="3"/>
  <c r="D90" i="4"/>
  <c r="D90" i="5"/>
  <c r="D90" i="6"/>
  <c r="D90" i="7"/>
  <c r="D90" i="8"/>
  <c r="D8" i="9"/>
  <c r="D90" i="9" s="1"/>
  <c r="W27" i="17"/>
  <c r="N99" i="6"/>
  <c r="O99" i="6" s="1"/>
  <c r="P1" i="22"/>
  <c r="P83" i="22" s="1"/>
  <c r="I11" i="22"/>
  <c r="K11" i="22"/>
  <c r="I17" i="22"/>
  <c r="I18" i="22"/>
  <c r="N27" i="22"/>
  <c r="N28" i="22"/>
  <c r="N29" i="22"/>
  <c r="N30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O108" i="22"/>
  <c r="O109" i="22"/>
  <c r="O110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J131" i="22"/>
  <c r="M131" i="22"/>
  <c r="O131" i="22"/>
  <c r="P131" i="22"/>
  <c r="J132" i="22"/>
  <c r="M132" i="22"/>
  <c r="O132" i="22"/>
  <c r="P132" i="22"/>
  <c r="J133" i="22"/>
  <c r="M133" i="22"/>
  <c r="O133" i="22"/>
  <c r="P133" i="22"/>
  <c r="J134" i="22"/>
  <c r="M134" i="22"/>
  <c r="O134" i="22"/>
  <c r="P134" i="22"/>
  <c r="J135" i="22"/>
  <c r="M135" i="22"/>
  <c r="O135" i="22"/>
  <c r="P135" i="22"/>
  <c r="J136" i="22"/>
  <c r="M136" i="22"/>
  <c r="O136" i="22"/>
  <c r="P136" i="22"/>
  <c r="J137" i="22"/>
  <c r="M137" i="22"/>
  <c r="O137" i="22"/>
  <c r="P137" i="22"/>
  <c r="J138" i="22"/>
  <c r="M138" i="22"/>
  <c r="O138" i="22"/>
  <c r="P138" i="22"/>
  <c r="J139" i="22"/>
  <c r="M139" i="22"/>
  <c r="O139" i="22"/>
  <c r="P139" i="22"/>
  <c r="J140" i="22"/>
  <c r="M140" i="22"/>
  <c r="O140" i="22"/>
  <c r="P140" i="22"/>
  <c r="J141" i="22"/>
  <c r="M141" i="22"/>
  <c r="O141" i="22"/>
  <c r="P141" i="22"/>
  <c r="J142" i="22"/>
  <c r="M142" i="22"/>
  <c r="O142" i="22"/>
  <c r="P142" i="22"/>
  <c r="J143" i="22"/>
  <c r="M143" i="22"/>
  <c r="O143" i="22"/>
  <c r="P143" i="22"/>
  <c r="J144" i="22"/>
  <c r="M144" i="22"/>
  <c r="O144" i="22"/>
  <c r="P144" i="22"/>
  <c r="J145" i="22"/>
  <c r="M145" i="22"/>
  <c r="O145" i="22"/>
  <c r="P145" i="22"/>
  <c r="J146" i="22"/>
  <c r="M146" i="22"/>
  <c r="O146" i="22"/>
  <c r="P146" i="22"/>
  <c r="J147" i="22"/>
  <c r="M147" i="22"/>
  <c r="O147" i="22"/>
  <c r="P147" i="22"/>
  <c r="J148" i="22"/>
  <c r="M148" i="22"/>
  <c r="O148" i="22"/>
  <c r="P148" i="22"/>
  <c r="J149" i="22"/>
  <c r="M149" i="22"/>
  <c r="O149" i="22"/>
  <c r="P149" i="22"/>
  <c r="J150" i="22"/>
  <c r="M150" i="22"/>
  <c r="O150" i="22"/>
  <c r="P150" i="22"/>
  <c r="J151" i="22"/>
  <c r="M151" i="22"/>
  <c r="O151" i="22"/>
  <c r="P151" i="22"/>
  <c r="J152" i="22"/>
  <c r="M152" i="22"/>
  <c r="O152" i="22"/>
  <c r="P152" i="22"/>
  <c r="J153" i="22"/>
  <c r="M153" i="22"/>
  <c r="O153" i="22"/>
  <c r="P153" i="22"/>
  <c r="J154" i="22"/>
  <c r="M154" i="22"/>
  <c r="O154" i="22"/>
  <c r="P154" i="22"/>
  <c r="P1" i="8"/>
  <c r="P83" i="8" s="1"/>
  <c r="P1" i="11"/>
  <c r="P83" i="11" s="1"/>
  <c r="P12" i="17"/>
  <c r="L12" i="17"/>
  <c r="W26" i="17"/>
  <c r="W25" i="17"/>
  <c r="W24" i="17"/>
  <c r="W23" i="17"/>
  <c r="W22" i="17"/>
  <c r="W21" i="17"/>
  <c r="W20" i="17"/>
  <c r="W19" i="17"/>
  <c r="W18" i="17"/>
  <c r="G12" i="17"/>
  <c r="H3" i="3"/>
  <c r="H3" i="4"/>
  <c r="H3" i="5"/>
  <c r="H3" i="6"/>
  <c r="M101" i="7"/>
  <c r="C12" i="2"/>
  <c r="P1" i="13"/>
  <c r="P83" i="13" s="1"/>
  <c r="P1" i="4"/>
  <c r="P83" i="4" s="1"/>
  <c r="P1" i="5"/>
  <c r="P83" i="5" s="1"/>
  <c r="P1" i="6"/>
  <c r="P83" i="6" s="1"/>
  <c r="P1" i="7"/>
  <c r="P83" i="7" s="1"/>
  <c r="P1" i="9"/>
  <c r="P83" i="9" s="1"/>
  <c r="P1" i="10"/>
  <c r="P83" i="10" s="1"/>
  <c r="P1" i="3"/>
  <c r="P83" i="3" s="1"/>
  <c r="O3" i="3"/>
  <c r="A5" i="2"/>
  <c r="A1" i="2"/>
  <c r="F13" i="2"/>
  <c r="C79" i="2" s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I11" i="11"/>
  <c r="K11" i="11"/>
  <c r="I17" i="11"/>
  <c r="L17" i="11"/>
  <c r="N17" i="11"/>
  <c r="I18" i="11"/>
  <c r="L18" i="11"/>
  <c r="N18" i="11"/>
  <c r="I19" i="11"/>
  <c r="L19" i="11"/>
  <c r="N19" i="11"/>
  <c r="I20" i="11"/>
  <c r="I21" i="11"/>
  <c r="N30" i="11"/>
  <c r="N31" i="11"/>
  <c r="N32" i="11"/>
  <c r="N33" i="11"/>
  <c r="L36" i="11"/>
  <c r="N36" i="11"/>
  <c r="L37" i="11"/>
  <c r="N37" i="11"/>
  <c r="L38" i="11"/>
  <c r="N38" i="11"/>
  <c r="L39" i="11"/>
  <c r="N39" i="11"/>
  <c r="L40" i="11"/>
  <c r="N40" i="11"/>
  <c r="L41" i="11"/>
  <c r="N41" i="11"/>
  <c r="L42" i="11"/>
  <c r="N42" i="11"/>
  <c r="L43" i="11"/>
  <c r="N43" i="11"/>
  <c r="L44" i="11"/>
  <c r="N44" i="11"/>
  <c r="L45" i="11"/>
  <c r="N45" i="11"/>
  <c r="L46" i="11"/>
  <c r="N46" i="11"/>
  <c r="L47" i="11"/>
  <c r="N47" i="11"/>
  <c r="L48" i="11"/>
  <c r="N48" i="11"/>
  <c r="L49" i="11"/>
  <c r="N49" i="11"/>
  <c r="L50" i="11"/>
  <c r="N50" i="11"/>
  <c r="L51" i="11"/>
  <c r="N51" i="11"/>
  <c r="L52" i="11"/>
  <c r="N52" i="11"/>
  <c r="L53" i="11"/>
  <c r="N53" i="11"/>
  <c r="L54" i="11"/>
  <c r="N54" i="11"/>
  <c r="L55" i="11"/>
  <c r="N55" i="11"/>
  <c r="L56" i="11"/>
  <c r="N56" i="11"/>
  <c r="L57" i="11"/>
  <c r="N57" i="11"/>
  <c r="L58" i="11"/>
  <c r="N58" i="11"/>
  <c r="L59" i="11"/>
  <c r="N59" i="11"/>
  <c r="L60" i="11"/>
  <c r="N60" i="11"/>
  <c r="L61" i="11"/>
  <c r="N61" i="11"/>
  <c r="L62" i="11"/>
  <c r="N62" i="11"/>
  <c r="L63" i="11"/>
  <c r="N63" i="11"/>
  <c r="L64" i="11"/>
  <c r="N64" i="11"/>
  <c r="L65" i="11"/>
  <c r="N65" i="11"/>
  <c r="L66" i="11"/>
  <c r="N66" i="11"/>
  <c r="L67" i="11"/>
  <c r="N67" i="11"/>
  <c r="L68" i="11"/>
  <c r="N68" i="11"/>
  <c r="L69" i="11"/>
  <c r="N69" i="11"/>
  <c r="L70" i="11"/>
  <c r="N70" i="11"/>
  <c r="L71" i="11"/>
  <c r="N71" i="11"/>
  <c r="L72" i="11"/>
  <c r="N72" i="11"/>
  <c r="D89" i="11"/>
  <c r="D91" i="11"/>
  <c r="J93" i="11"/>
  <c r="L93" i="11"/>
  <c r="D96" i="11"/>
  <c r="J99" i="11"/>
  <c r="M99" i="11"/>
  <c r="O99" i="11"/>
  <c r="J100" i="11"/>
  <c r="M100" i="11"/>
  <c r="O100" i="11"/>
  <c r="J101" i="11"/>
  <c r="J102" i="11"/>
  <c r="O111" i="11"/>
  <c r="O112" i="11"/>
  <c r="O113" i="11"/>
  <c r="M117" i="11"/>
  <c r="O117" i="11"/>
  <c r="M118" i="11"/>
  <c r="O118" i="11"/>
  <c r="M119" i="11"/>
  <c r="O119" i="11"/>
  <c r="M120" i="11"/>
  <c r="O120" i="11"/>
  <c r="M121" i="11"/>
  <c r="O121" i="11"/>
  <c r="M122" i="11"/>
  <c r="O122" i="11"/>
  <c r="M123" i="11"/>
  <c r="O123" i="11"/>
  <c r="M124" i="11"/>
  <c r="O124" i="11"/>
  <c r="M125" i="11"/>
  <c r="O125" i="11"/>
  <c r="M126" i="11"/>
  <c r="O126" i="11"/>
  <c r="M127" i="11"/>
  <c r="O127" i="11"/>
  <c r="M128" i="11"/>
  <c r="O128" i="11"/>
  <c r="M129" i="11"/>
  <c r="O129" i="11"/>
  <c r="M130" i="11"/>
  <c r="O130" i="11"/>
  <c r="J131" i="11"/>
  <c r="M131" i="11"/>
  <c r="O131" i="11"/>
  <c r="P131" i="11"/>
  <c r="J132" i="11"/>
  <c r="M132" i="11"/>
  <c r="O132" i="11"/>
  <c r="P132" i="11"/>
  <c r="J133" i="11"/>
  <c r="M133" i="11"/>
  <c r="O133" i="11"/>
  <c r="P133" i="11"/>
  <c r="J134" i="11"/>
  <c r="M134" i="11"/>
  <c r="O134" i="11"/>
  <c r="P134" i="11"/>
  <c r="J135" i="11"/>
  <c r="M135" i="11"/>
  <c r="O135" i="11"/>
  <c r="P135" i="11"/>
  <c r="J136" i="11"/>
  <c r="M136" i="11"/>
  <c r="O136" i="11"/>
  <c r="P136" i="11"/>
  <c r="J137" i="11"/>
  <c r="M137" i="11"/>
  <c r="O137" i="11"/>
  <c r="P137" i="11"/>
  <c r="J138" i="11"/>
  <c r="M138" i="11"/>
  <c r="O138" i="11"/>
  <c r="P138" i="11"/>
  <c r="J139" i="11"/>
  <c r="M139" i="11"/>
  <c r="O139" i="11"/>
  <c r="P139" i="11"/>
  <c r="J140" i="11"/>
  <c r="M140" i="11"/>
  <c r="O140" i="11"/>
  <c r="P140" i="11"/>
  <c r="J141" i="11"/>
  <c r="M141" i="11"/>
  <c r="O141" i="11"/>
  <c r="P141" i="11"/>
  <c r="J142" i="11"/>
  <c r="M142" i="11"/>
  <c r="O142" i="11"/>
  <c r="P142" i="11"/>
  <c r="J143" i="11"/>
  <c r="M143" i="11"/>
  <c r="O143" i="11"/>
  <c r="P143" i="11"/>
  <c r="J144" i="11"/>
  <c r="M144" i="11"/>
  <c r="O144" i="11"/>
  <c r="P144" i="11"/>
  <c r="J145" i="11"/>
  <c r="M145" i="11"/>
  <c r="O145" i="11"/>
  <c r="P145" i="11"/>
  <c r="J146" i="11"/>
  <c r="M146" i="11"/>
  <c r="O146" i="11"/>
  <c r="P146" i="11"/>
  <c r="J147" i="11"/>
  <c r="M147" i="11"/>
  <c r="O147" i="11"/>
  <c r="P147" i="11"/>
  <c r="J148" i="11"/>
  <c r="M148" i="11"/>
  <c r="O148" i="11"/>
  <c r="P148" i="11"/>
  <c r="J149" i="11"/>
  <c r="M149" i="11"/>
  <c r="O149" i="11"/>
  <c r="P149" i="11"/>
  <c r="J150" i="11"/>
  <c r="M150" i="11"/>
  <c r="O150" i="11"/>
  <c r="P150" i="11"/>
  <c r="J151" i="11"/>
  <c r="M151" i="11"/>
  <c r="O151" i="11"/>
  <c r="P151" i="11"/>
  <c r="J152" i="11"/>
  <c r="M152" i="11"/>
  <c r="O152" i="11"/>
  <c r="P152" i="11"/>
  <c r="J153" i="11"/>
  <c r="M153" i="11"/>
  <c r="O153" i="11"/>
  <c r="P153" i="11"/>
  <c r="J154" i="11"/>
  <c r="M154" i="11"/>
  <c r="O154" i="11"/>
  <c r="P154" i="11"/>
  <c r="I11" i="10"/>
  <c r="K11" i="10"/>
  <c r="I17" i="10"/>
  <c r="L17" i="10"/>
  <c r="N17" i="10"/>
  <c r="I18" i="10"/>
  <c r="L18" i="10"/>
  <c r="N18" i="10"/>
  <c r="I19" i="10"/>
  <c r="L19" i="10"/>
  <c r="N19" i="10"/>
  <c r="I20" i="10"/>
  <c r="L20" i="10"/>
  <c r="N20" i="10"/>
  <c r="I21" i="10"/>
  <c r="I22" i="10"/>
  <c r="N31" i="10"/>
  <c r="N32" i="10"/>
  <c r="N33" i="10"/>
  <c r="N34" i="10"/>
  <c r="N36" i="10"/>
  <c r="L37" i="10"/>
  <c r="N37" i="10"/>
  <c r="L38" i="10"/>
  <c r="N38" i="10"/>
  <c r="L39" i="10"/>
  <c r="N39" i="10"/>
  <c r="L40" i="10"/>
  <c r="N40" i="10"/>
  <c r="L41" i="10"/>
  <c r="N41" i="10"/>
  <c r="L42" i="10"/>
  <c r="N42" i="10"/>
  <c r="L43" i="10"/>
  <c r="N43" i="10"/>
  <c r="L44" i="10"/>
  <c r="N44" i="10"/>
  <c r="L45" i="10"/>
  <c r="N45" i="10"/>
  <c r="L46" i="10"/>
  <c r="N46" i="10"/>
  <c r="L47" i="10"/>
  <c r="N47" i="10"/>
  <c r="L48" i="10"/>
  <c r="N48" i="10"/>
  <c r="L49" i="10"/>
  <c r="N49" i="10"/>
  <c r="L50" i="10"/>
  <c r="N50" i="10"/>
  <c r="L51" i="10"/>
  <c r="N51" i="10"/>
  <c r="L52" i="10"/>
  <c r="N52" i="10"/>
  <c r="L53" i="10"/>
  <c r="N53" i="10"/>
  <c r="L54" i="10"/>
  <c r="N54" i="10"/>
  <c r="L55" i="10"/>
  <c r="N55" i="10"/>
  <c r="L56" i="10"/>
  <c r="N56" i="10"/>
  <c r="L57" i="10"/>
  <c r="N57" i="10"/>
  <c r="L58" i="10"/>
  <c r="N58" i="10"/>
  <c r="L59" i="10"/>
  <c r="N59" i="10"/>
  <c r="L60" i="10"/>
  <c r="N60" i="10"/>
  <c r="L61" i="10"/>
  <c r="N61" i="10"/>
  <c r="L62" i="10"/>
  <c r="N62" i="10"/>
  <c r="L63" i="10"/>
  <c r="N63" i="10"/>
  <c r="L64" i="10"/>
  <c r="N64" i="10"/>
  <c r="L65" i="10"/>
  <c r="N65" i="10"/>
  <c r="L66" i="10"/>
  <c r="N66" i="10"/>
  <c r="L67" i="10"/>
  <c r="N67" i="10"/>
  <c r="L68" i="10"/>
  <c r="N68" i="10"/>
  <c r="L69" i="10"/>
  <c r="N69" i="10"/>
  <c r="L70" i="10"/>
  <c r="N70" i="10"/>
  <c r="L71" i="10"/>
  <c r="N71" i="10"/>
  <c r="L72" i="10"/>
  <c r="N72" i="10"/>
  <c r="D89" i="10"/>
  <c r="D91" i="10"/>
  <c r="J93" i="10"/>
  <c r="L93" i="10"/>
  <c r="D96" i="10"/>
  <c r="J99" i="10"/>
  <c r="M99" i="10"/>
  <c r="O99" i="10"/>
  <c r="J100" i="10"/>
  <c r="M100" i="10"/>
  <c r="O100" i="10"/>
  <c r="J101" i="10"/>
  <c r="M101" i="10"/>
  <c r="O101" i="10"/>
  <c r="J102" i="10"/>
  <c r="J103" i="10"/>
  <c r="O112" i="10"/>
  <c r="O113" i="10"/>
  <c r="O114" i="10"/>
  <c r="M118" i="10"/>
  <c r="O118" i="10"/>
  <c r="M119" i="10"/>
  <c r="O119" i="10"/>
  <c r="M120" i="10"/>
  <c r="O120" i="10"/>
  <c r="M121" i="10"/>
  <c r="O121" i="10"/>
  <c r="M122" i="10"/>
  <c r="O122" i="10"/>
  <c r="M123" i="10"/>
  <c r="O123" i="10"/>
  <c r="M124" i="10"/>
  <c r="O124" i="10"/>
  <c r="M125" i="10"/>
  <c r="O125" i="10"/>
  <c r="M126" i="10"/>
  <c r="O126" i="10"/>
  <c r="M127" i="10"/>
  <c r="O127" i="10"/>
  <c r="M128" i="10"/>
  <c r="O128" i="10"/>
  <c r="M129" i="10"/>
  <c r="O129" i="10"/>
  <c r="M130" i="10"/>
  <c r="O130" i="10"/>
  <c r="M131" i="10"/>
  <c r="O131" i="10"/>
  <c r="M132" i="10"/>
  <c r="O132" i="10"/>
  <c r="M133" i="10"/>
  <c r="O133" i="10"/>
  <c r="M134" i="10"/>
  <c r="O134" i="10"/>
  <c r="M135" i="10"/>
  <c r="O135" i="10"/>
  <c r="M136" i="10"/>
  <c r="O136" i="10"/>
  <c r="M137" i="10"/>
  <c r="O137" i="10"/>
  <c r="M138" i="10"/>
  <c r="O138" i="10"/>
  <c r="M139" i="10"/>
  <c r="O139" i="10"/>
  <c r="M140" i="10"/>
  <c r="O140" i="10"/>
  <c r="M141" i="10"/>
  <c r="O141" i="10"/>
  <c r="M142" i="10"/>
  <c r="O142" i="10"/>
  <c r="M143" i="10"/>
  <c r="O143" i="10"/>
  <c r="M144" i="10"/>
  <c r="O144" i="10"/>
  <c r="M145" i="10"/>
  <c r="O145" i="10"/>
  <c r="M146" i="10"/>
  <c r="O146" i="10"/>
  <c r="M147" i="10"/>
  <c r="O147" i="10"/>
  <c r="M148" i="10"/>
  <c r="O148" i="10"/>
  <c r="M149" i="10"/>
  <c r="O149" i="10"/>
  <c r="M150" i="10"/>
  <c r="O150" i="10"/>
  <c r="M151" i="10"/>
  <c r="O151" i="10"/>
  <c r="M152" i="10"/>
  <c r="O152" i="10"/>
  <c r="M153" i="10"/>
  <c r="O153" i="10"/>
  <c r="M154" i="10"/>
  <c r="O154" i="10"/>
  <c r="I11" i="9"/>
  <c r="K11" i="9"/>
  <c r="I17" i="9"/>
  <c r="L17" i="9"/>
  <c r="N17" i="9"/>
  <c r="I18" i="9"/>
  <c r="L18" i="9"/>
  <c r="N18" i="9"/>
  <c r="I19" i="9"/>
  <c r="L19" i="9"/>
  <c r="N19" i="9"/>
  <c r="I21" i="9"/>
  <c r="N30" i="9"/>
  <c r="N31" i="9"/>
  <c r="N32" i="9"/>
  <c r="N33" i="9"/>
  <c r="L36" i="9"/>
  <c r="N36" i="9"/>
  <c r="L37" i="9"/>
  <c r="N37" i="9"/>
  <c r="L38" i="9"/>
  <c r="N38" i="9"/>
  <c r="L39" i="9"/>
  <c r="N39" i="9"/>
  <c r="L40" i="9"/>
  <c r="N40" i="9"/>
  <c r="L41" i="9"/>
  <c r="N41" i="9"/>
  <c r="L42" i="9"/>
  <c r="N42" i="9"/>
  <c r="L43" i="9"/>
  <c r="N43" i="9"/>
  <c r="L44" i="9"/>
  <c r="N44" i="9"/>
  <c r="L45" i="9"/>
  <c r="N45" i="9"/>
  <c r="L46" i="9"/>
  <c r="N46" i="9"/>
  <c r="L47" i="9"/>
  <c r="N47" i="9"/>
  <c r="L48" i="9"/>
  <c r="N48" i="9"/>
  <c r="L49" i="9"/>
  <c r="N49" i="9"/>
  <c r="L50" i="9"/>
  <c r="N50" i="9"/>
  <c r="L51" i="9"/>
  <c r="N51" i="9"/>
  <c r="L52" i="9"/>
  <c r="N52" i="9"/>
  <c r="L53" i="9"/>
  <c r="N53" i="9"/>
  <c r="L54" i="9"/>
  <c r="N54" i="9"/>
  <c r="L55" i="9"/>
  <c r="N55" i="9"/>
  <c r="L56" i="9"/>
  <c r="N56" i="9"/>
  <c r="L57" i="9"/>
  <c r="N57" i="9"/>
  <c r="L58" i="9"/>
  <c r="N58" i="9"/>
  <c r="L59" i="9"/>
  <c r="N59" i="9"/>
  <c r="L60" i="9"/>
  <c r="N60" i="9"/>
  <c r="L61" i="9"/>
  <c r="N61" i="9"/>
  <c r="L62" i="9"/>
  <c r="N62" i="9"/>
  <c r="L63" i="9"/>
  <c r="N63" i="9"/>
  <c r="L64" i="9"/>
  <c r="N64" i="9"/>
  <c r="L65" i="9"/>
  <c r="N65" i="9"/>
  <c r="L66" i="9"/>
  <c r="N66" i="9"/>
  <c r="L67" i="9"/>
  <c r="N67" i="9"/>
  <c r="L68" i="9"/>
  <c r="N68" i="9"/>
  <c r="L69" i="9"/>
  <c r="N69" i="9"/>
  <c r="L70" i="9"/>
  <c r="N70" i="9"/>
  <c r="L71" i="9"/>
  <c r="N71" i="9"/>
  <c r="L72" i="9"/>
  <c r="N72" i="9"/>
  <c r="D89" i="9"/>
  <c r="D91" i="9"/>
  <c r="J93" i="9"/>
  <c r="L93" i="9"/>
  <c r="D96" i="9"/>
  <c r="J99" i="9"/>
  <c r="M99" i="9"/>
  <c r="O99" i="9"/>
  <c r="J100" i="9"/>
  <c r="M100" i="9"/>
  <c r="O100" i="9"/>
  <c r="J101" i="9"/>
  <c r="J102" i="9"/>
  <c r="O111" i="9"/>
  <c r="O112" i="9"/>
  <c r="O113" i="9"/>
  <c r="O116" i="9"/>
  <c r="M117" i="9"/>
  <c r="O117" i="9"/>
  <c r="M118" i="9"/>
  <c r="O118" i="9"/>
  <c r="M119" i="9"/>
  <c r="O119" i="9"/>
  <c r="M120" i="9"/>
  <c r="O120" i="9"/>
  <c r="M121" i="9"/>
  <c r="O121" i="9"/>
  <c r="M122" i="9"/>
  <c r="O122" i="9"/>
  <c r="M123" i="9"/>
  <c r="O123" i="9"/>
  <c r="M124" i="9"/>
  <c r="O124" i="9"/>
  <c r="M125" i="9"/>
  <c r="O125" i="9"/>
  <c r="M126" i="9"/>
  <c r="O126" i="9"/>
  <c r="M127" i="9"/>
  <c r="O127" i="9"/>
  <c r="M128" i="9"/>
  <c r="O128" i="9"/>
  <c r="M129" i="9"/>
  <c r="O129" i="9"/>
  <c r="M130" i="9"/>
  <c r="O130" i="9"/>
  <c r="J131" i="9"/>
  <c r="M131" i="9"/>
  <c r="O131" i="9"/>
  <c r="P131" i="9"/>
  <c r="J132" i="9"/>
  <c r="M132" i="9"/>
  <c r="O132" i="9"/>
  <c r="P132" i="9"/>
  <c r="J133" i="9"/>
  <c r="M133" i="9"/>
  <c r="O133" i="9"/>
  <c r="P133" i="9"/>
  <c r="J134" i="9"/>
  <c r="M134" i="9"/>
  <c r="O134" i="9"/>
  <c r="P134" i="9"/>
  <c r="J135" i="9"/>
  <c r="M135" i="9"/>
  <c r="O135" i="9"/>
  <c r="P135" i="9"/>
  <c r="J136" i="9"/>
  <c r="M136" i="9"/>
  <c r="O136" i="9"/>
  <c r="P136" i="9"/>
  <c r="J137" i="9"/>
  <c r="M137" i="9"/>
  <c r="O137" i="9"/>
  <c r="P137" i="9"/>
  <c r="J138" i="9"/>
  <c r="M138" i="9"/>
  <c r="O138" i="9"/>
  <c r="P138" i="9"/>
  <c r="J139" i="9"/>
  <c r="M139" i="9"/>
  <c r="O139" i="9"/>
  <c r="P139" i="9"/>
  <c r="J140" i="9"/>
  <c r="M140" i="9"/>
  <c r="O140" i="9"/>
  <c r="P140" i="9"/>
  <c r="J141" i="9"/>
  <c r="M141" i="9"/>
  <c r="O141" i="9"/>
  <c r="P141" i="9"/>
  <c r="J142" i="9"/>
  <c r="M142" i="9"/>
  <c r="O142" i="9"/>
  <c r="P142" i="9"/>
  <c r="J143" i="9"/>
  <c r="M143" i="9"/>
  <c r="O143" i="9"/>
  <c r="P143" i="9"/>
  <c r="J144" i="9"/>
  <c r="M144" i="9"/>
  <c r="O144" i="9"/>
  <c r="P144" i="9"/>
  <c r="J145" i="9"/>
  <c r="M145" i="9"/>
  <c r="O145" i="9"/>
  <c r="P145" i="9"/>
  <c r="J146" i="9"/>
  <c r="M146" i="9"/>
  <c r="O146" i="9"/>
  <c r="P146" i="9"/>
  <c r="J147" i="9"/>
  <c r="M147" i="9"/>
  <c r="O147" i="9"/>
  <c r="P147" i="9"/>
  <c r="J148" i="9"/>
  <c r="M148" i="9"/>
  <c r="O148" i="9"/>
  <c r="P148" i="9"/>
  <c r="J149" i="9"/>
  <c r="M149" i="9"/>
  <c r="O149" i="9"/>
  <c r="P149" i="9"/>
  <c r="J150" i="9"/>
  <c r="M150" i="9"/>
  <c r="O150" i="9"/>
  <c r="P150" i="9"/>
  <c r="J151" i="9"/>
  <c r="M151" i="9"/>
  <c r="O151" i="9"/>
  <c r="P151" i="9"/>
  <c r="J152" i="9"/>
  <c r="M152" i="9"/>
  <c r="O152" i="9"/>
  <c r="P152" i="9"/>
  <c r="J153" i="9"/>
  <c r="M153" i="9"/>
  <c r="O153" i="9"/>
  <c r="P153" i="9"/>
  <c r="J154" i="9"/>
  <c r="M154" i="9"/>
  <c r="O154" i="9"/>
  <c r="P154" i="9"/>
  <c r="I11" i="8"/>
  <c r="K11" i="8"/>
  <c r="I17" i="8"/>
  <c r="L17" i="8"/>
  <c r="N17" i="8"/>
  <c r="I18" i="8"/>
  <c r="L18" i="8"/>
  <c r="N18" i="8"/>
  <c r="I19" i="8"/>
  <c r="I20" i="8"/>
  <c r="N29" i="8"/>
  <c r="N30" i="8"/>
  <c r="N31" i="8"/>
  <c r="N32" i="8"/>
  <c r="N34" i="8"/>
  <c r="L35" i="8"/>
  <c r="N35" i="8"/>
  <c r="L36" i="8"/>
  <c r="N36" i="8"/>
  <c r="L37" i="8"/>
  <c r="N37" i="8"/>
  <c r="L38" i="8"/>
  <c r="N38" i="8"/>
  <c r="L39" i="8"/>
  <c r="N39" i="8"/>
  <c r="L40" i="8"/>
  <c r="N40" i="8"/>
  <c r="L41" i="8"/>
  <c r="N41" i="8"/>
  <c r="L42" i="8"/>
  <c r="N42" i="8"/>
  <c r="L43" i="8"/>
  <c r="N43" i="8"/>
  <c r="L44" i="8"/>
  <c r="N44" i="8"/>
  <c r="L45" i="8"/>
  <c r="N45" i="8"/>
  <c r="L46" i="8"/>
  <c r="N46" i="8"/>
  <c r="L47" i="8"/>
  <c r="N47" i="8"/>
  <c r="L48" i="8"/>
  <c r="N48" i="8"/>
  <c r="L49" i="8"/>
  <c r="N49" i="8"/>
  <c r="L50" i="8"/>
  <c r="N50" i="8"/>
  <c r="L51" i="8"/>
  <c r="N51" i="8"/>
  <c r="L52" i="8"/>
  <c r="N52" i="8"/>
  <c r="L53" i="8"/>
  <c r="N53" i="8"/>
  <c r="L54" i="8"/>
  <c r="N54" i="8"/>
  <c r="L55" i="8"/>
  <c r="N55" i="8"/>
  <c r="L56" i="8"/>
  <c r="N56" i="8"/>
  <c r="L57" i="8"/>
  <c r="N57" i="8"/>
  <c r="L58" i="8"/>
  <c r="N58" i="8"/>
  <c r="L59" i="8"/>
  <c r="N59" i="8"/>
  <c r="L60" i="8"/>
  <c r="N60" i="8"/>
  <c r="L61" i="8"/>
  <c r="N61" i="8"/>
  <c r="L62" i="8"/>
  <c r="N62" i="8"/>
  <c r="L63" i="8"/>
  <c r="N63" i="8"/>
  <c r="L64" i="8"/>
  <c r="N64" i="8"/>
  <c r="L65" i="8"/>
  <c r="N65" i="8"/>
  <c r="L66" i="8"/>
  <c r="N66" i="8"/>
  <c r="L67" i="8"/>
  <c r="N67" i="8"/>
  <c r="L68" i="8"/>
  <c r="N68" i="8"/>
  <c r="L69" i="8"/>
  <c r="N69" i="8"/>
  <c r="L70" i="8"/>
  <c r="N70" i="8"/>
  <c r="L71" i="8"/>
  <c r="N71" i="8"/>
  <c r="L72" i="8"/>
  <c r="N72" i="8"/>
  <c r="D89" i="8"/>
  <c r="D91" i="8"/>
  <c r="J93" i="8"/>
  <c r="L93" i="8"/>
  <c r="D96" i="8"/>
  <c r="J99" i="8"/>
  <c r="M99" i="8"/>
  <c r="O99" i="8"/>
  <c r="J100" i="8"/>
  <c r="J101" i="8"/>
  <c r="O110" i="8"/>
  <c r="O111" i="8"/>
  <c r="O112" i="8"/>
  <c r="O115" i="8"/>
  <c r="M116" i="8"/>
  <c r="O116" i="8"/>
  <c r="M117" i="8"/>
  <c r="O117" i="8"/>
  <c r="M118" i="8"/>
  <c r="O118" i="8"/>
  <c r="M119" i="8"/>
  <c r="O119" i="8"/>
  <c r="M120" i="8"/>
  <c r="O120" i="8"/>
  <c r="M121" i="8"/>
  <c r="O121" i="8"/>
  <c r="M122" i="8"/>
  <c r="O122" i="8"/>
  <c r="M123" i="8"/>
  <c r="O123" i="8"/>
  <c r="M124" i="8"/>
  <c r="O124" i="8"/>
  <c r="M125" i="8"/>
  <c r="O125" i="8"/>
  <c r="M126" i="8"/>
  <c r="O126" i="8"/>
  <c r="M127" i="8"/>
  <c r="O127" i="8"/>
  <c r="M128" i="8"/>
  <c r="O128" i="8"/>
  <c r="M129" i="8"/>
  <c r="O129" i="8"/>
  <c r="M130" i="8"/>
  <c r="O130" i="8"/>
  <c r="M131" i="8"/>
  <c r="O131" i="8"/>
  <c r="M132" i="8"/>
  <c r="O132" i="8"/>
  <c r="M133" i="8"/>
  <c r="O133" i="8"/>
  <c r="M134" i="8"/>
  <c r="O134" i="8"/>
  <c r="M135" i="8"/>
  <c r="O135" i="8"/>
  <c r="M136" i="8"/>
  <c r="O136" i="8"/>
  <c r="M137" i="8"/>
  <c r="O137" i="8"/>
  <c r="M138" i="8"/>
  <c r="O138" i="8"/>
  <c r="M139" i="8"/>
  <c r="O139" i="8"/>
  <c r="M140" i="8"/>
  <c r="O140" i="8"/>
  <c r="M141" i="8"/>
  <c r="O141" i="8"/>
  <c r="M142" i="8"/>
  <c r="O142" i="8"/>
  <c r="M143" i="8"/>
  <c r="O143" i="8"/>
  <c r="M144" i="8"/>
  <c r="O144" i="8"/>
  <c r="M145" i="8"/>
  <c r="O145" i="8"/>
  <c r="M146" i="8"/>
  <c r="O146" i="8"/>
  <c r="M147" i="8"/>
  <c r="O147" i="8"/>
  <c r="M148" i="8"/>
  <c r="O148" i="8"/>
  <c r="M149" i="8"/>
  <c r="O149" i="8"/>
  <c r="M150" i="8"/>
  <c r="O150" i="8"/>
  <c r="M151" i="8"/>
  <c r="O151" i="8"/>
  <c r="M152" i="8"/>
  <c r="O152" i="8"/>
  <c r="M153" i="8"/>
  <c r="O153" i="8"/>
  <c r="M154" i="8"/>
  <c r="O154" i="8"/>
  <c r="I11" i="7"/>
  <c r="K11" i="7"/>
  <c r="I17" i="7"/>
  <c r="L17" i="7"/>
  <c r="N17" i="7"/>
  <c r="I18" i="7"/>
  <c r="N18" i="7"/>
  <c r="I19" i="7"/>
  <c r="L19" i="7"/>
  <c r="N19" i="7"/>
  <c r="I20" i="7"/>
  <c r="L20" i="7"/>
  <c r="N20" i="7"/>
  <c r="I21" i="7"/>
  <c r="I22" i="7"/>
  <c r="N31" i="7"/>
  <c r="N32" i="7"/>
  <c r="N33" i="7"/>
  <c r="N34" i="7"/>
  <c r="L37" i="7"/>
  <c r="N37" i="7"/>
  <c r="L38" i="7"/>
  <c r="N38" i="7"/>
  <c r="L39" i="7"/>
  <c r="N39" i="7"/>
  <c r="L40" i="7"/>
  <c r="N40" i="7"/>
  <c r="L41" i="7"/>
  <c r="N41" i="7"/>
  <c r="L42" i="7"/>
  <c r="N42" i="7"/>
  <c r="L43" i="7"/>
  <c r="N43" i="7"/>
  <c r="L44" i="7"/>
  <c r="N44" i="7"/>
  <c r="L45" i="7"/>
  <c r="N45" i="7"/>
  <c r="L46" i="7"/>
  <c r="N46" i="7"/>
  <c r="L47" i="7"/>
  <c r="N47" i="7"/>
  <c r="L48" i="7"/>
  <c r="N48" i="7"/>
  <c r="L49" i="7"/>
  <c r="N49" i="7"/>
  <c r="L50" i="7"/>
  <c r="N50" i="7"/>
  <c r="L51" i="7"/>
  <c r="N51" i="7"/>
  <c r="L52" i="7"/>
  <c r="N52" i="7"/>
  <c r="L53" i="7"/>
  <c r="N53" i="7"/>
  <c r="L54" i="7"/>
  <c r="N54" i="7"/>
  <c r="L55" i="7"/>
  <c r="N55" i="7"/>
  <c r="L56" i="7"/>
  <c r="N56" i="7"/>
  <c r="L57" i="7"/>
  <c r="N57" i="7"/>
  <c r="L58" i="7"/>
  <c r="N58" i="7"/>
  <c r="L59" i="7"/>
  <c r="N59" i="7"/>
  <c r="L60" i="7"/>
  <c r="N60" i="7"/>
  <c r="L61" i="7"/>
  <c r="N61" i="7"/>
  <c r="L62" i="7"/>
  <c r="N62" i="7"/>
  <c r="L63" i="7"/>
  <c r="N63" i="7"/>
  <c r="L64" i="7"/>
  <c r="N64" i="7"/>
  <c r="L65" i="7"/>
  <c r="N65" i="7"/>
  <c r="L66" i="7"/>
  <c r="N66" i="7"/>
  <c r="L67" i="7"/>
  <c r="N67" i="7"/>
  <c r="L68" i="7"/>
  <c r="N68" i="7"/>
  <c r="L69" i="7"/>
  <c r="N69" i="7"/>
  <c r="L70" i="7"/>
  <c r="N70" i="7"/>
  <c r="L71" i="7"/>
  <c r="N71" i="7"/>
  <c r="L72" i="7"/>
  <c r="N72" i="7"/>
  <c r="D89" i="7"/>
  <c r="D91" i="7"/>
  <c r="J93" i="7"/>
  <c r="L93" i="7"/>
  <c r="D96" i="7"/>
  <c r="J99" i="7"/>
  <c r="M99" i="7"/>
  <c r="O99" i="7"/>
  <c r="J100" i="7"/>
  <c r="M100" i="7"/>
  <c r="O100" i="7"/>
  <c r="J101" i="7"/>
  <c r="O101" i="7"/>
  <c r="J102" i="7"/>
  <c r="J103" i="7"/>
  <c r="O112" i="7"/>
  <c r="O113" i="7"/>
  <c r="O114" i="7"/>
  <c r="O117" i="7"/>
  <c r="M118" i="7"/>
  <c r="O118" i="7"/>
  <c r="M119" i="7"/>
  <c r="O119" i="7"/>
  <c r="M120" i="7"/>
  <c r="O120" i="7"/>
  <c r="M121" i="7"/>
  <c r="O121" i="7"/>
  <c r="M122" i="7"/>
  <c r="O122" i="7"/>
  <c r="M123" i="7"/>
  <c r="O123" i="7"/>
  <c r="M124" i="7"/>
  <c r="O124" i="7"/>
  <c r="M125" i="7"/>
  <c r="O125" i="7"/>
  <c r="M126" i="7"/>
  <c r="O126" i="7"/>
  <c r="M127" i="7"/>
  <c r="O127" i="7"/>
  <c r="M128" i="7"/>
  <c r="O128" i="7"/>
  <c r="M129" i="7"/>
  <c r="O129" i="7"/>
  <c r="M130" i="7"/>
  <c r="O130" i="7"/>
  <c r="M131" i="7"/>
  <c r="O131" i="7"/>
  <c r="M132" i="7"/>
  <c r="O132" i="7"/>
  <c r="M133" i="7"/>
  <c r="O133" i="7"/>
  <c r="M134" i="7"/>
  <c r="O134" i="7"/>
  <c r="M135" i="7"/>
  <c r="O135" i="7"/>
  <c r="M136" i="7"/>
  <c r="O136" i="7"/>
  <c r="M137" i="7"/>
  <c r="O137" i="7"/>
  <c r="M138" i="7"/>
  <c r="O138" i="7"/>
  <c r="M139" i="7"/>
  <c r="O139" i="7"/>
  <c r="M140" i="7"/>
  <c r="O140" i="7"/>
  <c r="M141" i="7"/>
  <c r="O141" i="7"/>
  <c r="M142" i="7"/>
  <c r="O142" i="7"/>
  <c r="M143" i="7"/>
  <c r="O143" i="7"/>
  <c r="M144" i="7"/>
  <c r="O144" i="7"/>
  <c r="M145" i="7"/>
  <c r="O145" i="7"/>
  <c r="M146" i="7"/>
  <c r="O146" i="7"/>
  <c r="M147" i="7"/>
  <c r="O147" i="7"/>
  <c r="M148" i="7"/>
  <c r="O148" i="7"/>
  <c r="M149" i="7"/>
  <c r="O149" i="7"/>
  <c r="M150" i="7"/>
  <c r="O150" i="7"/>
  <c r="M151" i="7"/>
  <c r="O151" i="7"/>
  <c r="M152" i="7"/>
  <c r="O152" i="7"/>
  <c r="M153" i="7"/>
  <c r="O153" i="7"/>
  <c r="M154" i="7"/>
  <c r="O154" i="7"/>
  <c r="K11" i="6"/>
  <c r="I17" i="6"/>
  <c r="L17" i="6"/>
  <c r="N17" i="6"/>
  <c r="I18" i="6"/>
  <c r="L18" i="6"/>
  <c r="N18" i="6"/>
  <c r="N29" i="6"/>
  <c r="N30" i="6"/>
  <c r="N31" i="6"/>
  <c r="N32" i="6"/>
  <c r="L35" i="6"/>
  <c r="N35" i="6"/>
  <c r="L36" i="6"/>
  <c r="N36" i="6"/>
  <c r="L37" i="6"/>
  <c r="N37" i="6"/>
  <c r="L38" i="6"/>
  <c r="N38" i="6"/>
  <c r="L39" i="6"/>
  <c r="N39" i="6"/>
  <c r="L40" i="6"/>
  <c r="N40" i="6"/>
  <c r="L41" i="6"/>
  <c r="N41" i="6"/>
  <c r="L42" i="6"/>
  <c r="N42" i="6"/>
  <c r="L43" i="6"/>
  <c r="N43" i="6"/>
  <c r="L44" i="6"/>
  <c r="N44" i="6"/>
  <c r="L45" i="6"/>
  <c r="N45" i="6"/>
  <c r="L46" i="6"/>
  <c r="N46" i="6"/>
  <c r="L47" i="6"/>
  <c r="N47" i="6"/>
  <c r="L48" i="6"/>
  <c r="N48" i="6"/>
  <c r="L49" i="6"/>
  <c r="N49" i="6"/>
  <c r="L50" i="6"/>
  <c r="N50" i="6"/>
  <c r="L51" i="6"/>
  <c r="N51" i="6"/>
  <c r="L52" i="6"/>
  <c r="N52" i="6"/>
  <c r="L53" i="6"/>
  <c r="N53" i="6"/>
  <c r="L54" i="6"/>
  <c r="N54" i="6"/>
  <c r="L55" i="6"/>
  <c r="N55" i="6"/>
  <c r="L56" i="6"/>
  <c r="N56" i="6"/>
  <c r="L57" i="6"/>
  <c r="N57" i="6"/>
  <c r="L58" i="6"/>
  <c r="N58" i="6"/>
  <c r="L59" i="6"/>
  <c r="N59" i="6"/>
  <c r="L60" i="6"/>
  <c r="N60" i="6"/>
  <c r="L61" i="6"/>
  <c r="N61" i="6"/>
  <c r="L62" i="6"/>
  <c r="N62" i="6"/>
  <c r="L63" i="6"/>
  <c r="N63" i="6"/>
  <c r="L64" i="6"/>
  <c r="N64" i="6"/>
  <c r="L65" i="6"/>
  <c r="N65" i="6"/>
  <c r="L66" i="6"/>
  <c r="N66" i="6"/>
  <c r="L67" i="6"/>
  <c r="N67" i="6"/>
  <c r="L68" i="6"/>
  <c r="N68" i="6"/>
  <c r="L69" i="6"/>
  <c r="N69" i="6"/>
  <c r="L70" i="6"/>
  <c r="N70" i="6"/>
  <c r="L71" i="6"/>
  <c r="N71" i="6"/>
  <c r="L72" i="6"/>
  <c r="N72" i="6"/>
  <c r="D89" i="6"/>
  <c r="D91" i="6"/>
  <c r="J93" i="6"/>
  <c r="L93" i="6"/>
  <c r="D96" i="6"/>
  <c r="J99" i="6"/>
  <c r="M99" i="6"/>
  <c r="J100" i="6"/>
  <c r="J101" i="6"/>
  <c r="O110" i="6"/>
  <c r="O111" i="6"/>
  <c r="O112" i="6"/>
  <c r="M116" i="6"/>
  <c r="O116" i="6"/>
  <c r="M117" i="6"/>
  <c r="O117" i="6"/>
  <c r="M118" i="6"/>
  <c r="O118" i="6"/>
  <c r="M119" i="6"/>
  <c r="O119" i="6"/>
  <c r="M120" i="6"/>
  <c r="O120" i="6"/>
  <c r="M121" i="6"/>
  <c r="O121" i="6"/>
  <c r="M122" i="6"/>
  <c r="O122" i="6"/>
  <c r="M123" i="6"/>
  <c r="O123" i="6"/>
  <c r="M124" i="6"/>
  <c r="O124" i="6"/>
  <c r="M125" i="6"/>
  <c r="O125" i="6"/>
  <c r="M126" i="6"/>
  <c r="O126" i="6"/>
  <c r="M127" i="6"/>
  <c r="O127" i="6"/>
  <c r="M128" i="6"/>
  <c r="O128" i="6"/>
  <c r="M129" i="6"/>
  <c r="O129" i="6"/>
  <c r="M130" i="6"/>
  <c r="O130" i="6"/>
  <c r="M131" i="6"/>
  <c r="O131" i="6"/>
  <c r="M132" i="6"/>
  <c r="O132" i="6"/>
  <c r="M133" i="6"/>
  <c r="O133" i="6"/>
  <c r="M134" i="6"/>
  <c r="O134" i="6"/>
  <c r="M135" i="6"/>
  <c r="O135" i="6"/>
  <c r="M136" i="6"/>
  <c r="O136" i="6"/>
  <c r="M137" i="6"/>
  <c r="O137" i="6"/>
  <c r="M138" i="6"/>
  <c r="O138" i="6"/>
  <c r="M139" i="6"/>
  <c r="O139" i="6"/>
  <c r="M140" i="6"/>
  <c r="O140" i="6"/>
  <c r="M141" i="6"/>
  <c r="O141" i="6"/>
  <c r="M142" i="6"/>
  <c r="O142" i="6"/>
  <c r="M143" i="6"/>
  <c r="O143" i="6"/>
  <c r="M144" i="6"/>
  <c r="O144" i="6"/>
  <c r="M145" i="6"/>
  <c r="O145" i="6"/>
  <c r="M146" i="6"/>
  <c r="O146" i="6"/>
  <c r="M147" i="6"/>
  <c r="O147" i="6"/>
  <c r="M148" i="6"/>
  <c r="O148" i="6"/>
  <c r="M149" i="6"/>
  <c r="O149" i="6"/>
  <c r="M150" i="6"/>
  <c r="O150" i="6"/>
  <c r="M151" i="6"/>
  <c r="O151" i="6"/>
  <c r="M152" i="6"/>
  <c r="O152" i="6"/>
  <c r="M153" i="6"/>
  <c r="O153" i="6"/>
  <c r="M154" i="6"/>
  <c r="O154" i="6"/>
  <c r="K11" i="5"/>
  <c r="I17" i="5"/>
  <c r="L17" i="5"/>
  <c r="N17" i="5"/>
  <c r="I18" i="5"/>
  <c r="I19" i="5"/>
  <c r="N28" i="5"/>
  <c r="N29" i="5"/>
  <c r="N30" i="5"/>
  <c r="N31" i="5"/>
  <c r="L34" i="5"/>
  <c r="N34" i="5"/>
  <c r="L35" i="5"/>
  <c r="N35" i="5"/>
  <c r="L36" i="5"/>
  <c r="N36" i="5"/>
  <c r="L37" i="5"/>
  <c r="N37" i="5"/>
  <c r="L38" i="5"/>
  <c r="N38" i="5"/>
  <c r="L39" i="5"/>
  <c r="N39" i="5"/>
  <c r="L40" i="5"/>
  <c r="N40" i="5"/>
  <c r="L41" i="5"/>
  <c r="N41" i="5"/>
  <c r="L42" i="5"/>
  <c r="N42" i="5"/>
  <c r="L43" i="5"/>
  <c r="N43" i="5"/>
  <c r="L44" i="5"/>
  <c r="N44" i="5"/>
  <c r="L45" i="5"/>
  <c r="N45" i="5"/>
  <c r="L46" i="5"/>
  <c r="N46" i="5"/>
  <c r="L47" i="5"/>
  <c r="N47" i="5"/>
  <c r="L48" i="5"/>
  <c r="N48" i="5"/>
  <c r="I49" i="5"/>
  <c r="L49" i="5"/>
  <c r="N49" i="5"/>
  <c r="O49" i="5"/>
  <c r="I50" i="5"/>
  <c r="L50" i="5"/>
  <c r="N50" i="5"/>
  <c r="O50" i="5"/>
  <c r="I51" i="5"/>
  <c r="L51" i="5"/>
  <c r="N51" i="5"/>
  <c r="O51" i="5"/>
  <c r="I52" i="5"/>
  <c r="L52" i="5"/>
  <c r="N52" i="5"/>
  <c r="O52" i="5"/>
  <c r="I53" i="5"/>
  <c r="L53" i="5"/>
  <c r="N53" i="5"/>
  <c r="O53" i="5"/>
  <c r="I54" i="5"/>
  <c r="L54" i="5"/>
  <c r="N54" i="5"/>
  <c r="O54" i="5"/>
  <c r="I55" i="5"/>
  <c r="L55" i="5"/>
  <c r="N55" i="5"/>
  <c r="O55" i="5"/>
  <c r="I56" i="5"/>
  <c r="L56" i="5"/>
  <c r="N56" i="5"/>
  <c r="O56" i="5"/>
  <c r="I57" i="5"/>
  <c r="L57" i="5"/>
  <c r="N57" i="5"/>
  <c r="O57" i="5"/>
  <c r="I58" i="5"/>
  <c r="L58" i="5"/>
  <c r="N58" i="5"/>
  <c r="O58" i="5"/>
  <c r="I59" i="5"/>
  <c r="L59" i="5"/>
  <c r="N59" i="5"/>
  <c r="O59" i="5"/>
  <c r="I60" i="5"/>
  <c r="L60" i="5"/>
  <c r="N60" i="5"/>
  <c r="O60" i="5"/>
  <c r="I61" i="5"/>
  <c r="L61" i="5"/>
  <c r="N61" i="5"/>
  <c r="O61" i="5"/>
  <c r="I62" i="5"/>
  <c r="L62" i="5"/>
  <c r="N62" i="5"/>
  <c r="O62" i="5"/>
  <c r="I63" i="5"/>
  <c r="L63" i="5"/>
  <c r="N63" i="5"/>
  <c r="O63" i="5"/>
  <c r="I64" i="5"/>
  <c r="L64" i="5"/>
  <c r="N64" i="5"/>
  <c r="O64" i="5"/>
  <c r="I65" i="5"/>
  <c r="L65" i="5"/>
  <c r="N65" i="5"/>
  <c r="O65" i="5"/>
  <c r="I66" i="5"/>
  <c r="L66" i="5"/>
  <c r="N66" i="5"/>
  <c r="O66" i="5"/>
  <c r="I67" i="5"/>
  <c r="L67" i="5"/>
  <c r="N67" i="5"/>
  <c r="O67" i="5"/>
  <c r="I68" i="5"/>
  <c r="L68" i="5"/>
  <c r="N68" i="5"/>
  <c r="O68" i="5"/>
  <c r="I69" i="5"/>
  <c r="L69" i="5"/>
  <c r="N69" i="5"/>
  <c r="O69" i="5"/>
  <c r="I70" i="5"/>
  <c r="L70" i="5"/>
  <c r="N70" i="5"/>
  <c r="O70" i="5"/>
  <c r="I71" i="5"/>
  <c r="L71" i="5"/>
  <c r="N71" i="5"/>
  <c r="O71" i="5"/>
  <c r="I72" i="5"/>
  <c r="L72" i="5"/>
  <c r="N72" i="5"/>
  <c r="O72" i="5"/>
  <c r="D89" i="5"/>
  <c r="D91" i="5"/>
  <c r="J93" i="5"/>
  <c r="L93" i="5"/>
  <c r="D96" i="5"/>
  <c r="J99" i="5"/>
  <c r="J100" i="5"/>
  <c r="O109" i="5"/>
  <c r="O110" i="5"/>
  <c r="O111" i="5"/>
  <c r="O114" i="5"/>
  <c r="M115" i="5"/>
  <c r="O115" i="5"/>
  <c r="M116" i="5"/>
  <c r="O116" i="5"/>
  <c r="M117" i="5"/>
  <c r="O117" i="5"/>
  <c r="M118" i="5"/>
  <c r="O118" i="5"/>
  <c r="M119" i="5"/>
  <c r="O119" i="5"/>
  <c r="M120" i="5"/>
  <c r="O120" i="5"/>
  <c r="M121" i="5"/>
  <c r="O121" i="5"/>
  <c r="M122" i="5"/>
  <c r="O122" i="5"/>
  <c r="M123" i="5"/>
  <c r="O123" i="5"/>
  <c r="M124" i="5"/>
  <c r="O124" i="5"/>
  <c r="M125" i="5"/>
  <c r="O125" i="5"/>
  <c r="M126" i="5"/>
  <c r="O126" i="5"/>
  <c r="M127" i="5"/>
  <c r="O127" i="5"/>
  <c r="M128" i="5"/>
  <c r="O128" i="5"/>
  <c r="M129" i="5"/>
  <c r="O129" i="5"/>
  <c r="M130" i="5"/>
  <c r="O130" i="5"/>
  <c r="M131" i="5"/>
  <c r="O131" i="5"/>
  <c r="M132" i="5"/>
  <c r="O132" i="5"/>
  <c r="M133" i="5"/>
  <c r="O133" i="5"/>
  <c r="M134" i="5"/>
  <c r="O134" i="5"/>
  <c r="M135" i="5"/>
  <c r="O135" i="5"/>
  <c r="M136" i="5"/>
  <c r="O136" i="5"/>
  <c r="M137" i="5"/>
  <c r="O137" i="5"/>
  <c r="M138" i="5"/>
  <c r="O138" i="5"/>
  <c r="M139" i="5"/>
  <c r="O139" i="5"/>
  <c r="M140" i="5"/>
  <c r="O140" i="5"/>
  <c r="M141" i="5"/>
  <c r="O141" i="5"/>
  <c r="M142" i="5"/>
  <c r="O142" i="5"/>
  <c r="M143" i="5"/>
  <c r="O143" i="5"/>
  <c r="M144" i="5"/>
  <c r="O144" i="5"/>
  <c r="M145" i="5"/>
  <c r="O145" i="5"/>
  <c r="M146" i="5"/>
  <c r="O146" i="5"/>
  <c r="M147" i="5"/>
  <c r="O147" i="5"/>
  <c r="M148" i="5"/>
  <c r="O148" i="5"/>
  <c r="M149" i="5"/>
  <c r="O149" i="5"/>
  <c r="M150" i="5"/>
  <c r="O150" i="5"/>
  <c r="M151" i="5"/>
  <c r="O151" i="5"/>
  <c r="M152" i="5"/>
  <c r="O152" i="5"/>
  <c r="M153" i="5"/>
  <c r="O153" i="5"/>
  <c r="M154" i="5"/>
  <c r="O154" i="5"/>
  <c r="K11" i="4"/>
  <c r="I17" i="4"/>
  <c r="L17" i="4"/>
  <c r="N17" i="4"/>
  <c r="I18" i="4"/>
  <c r="I19" i="4"/>
  <c r="N29" i="4"/>
  <c r="N30" i="4"/>
  <c r="N31" i="4"/>
  <c r="L34" i="4"/>
  <c r="N34" i="4"/>
  <c r="L35" i="4"/>
  <c r="N35" i="4"/>
  <c r="L36" i="4"/>
  <c r="N36" i="4"/>
  <c r="L37" i="4"/>
  <c r="N37" i="4"/>
  <c r="L38" i="4"/>
  <c r="N38" i="4"/>
  <c r="L39" i="4"/>
  <c r="N39" i="4"/>
  <c r="L40" i="4"/>
  <c r="N40" i="4"/>
  <c r="L41" i="4"/>
  <c r="N41" i="4"/>
  <c r="L42" i="4"/>
  <c r="N42" i="4"/>
  <c r="L43" i="4"/>
  <c r="N43" i="4"/>
  <c r="L44" i="4"/>
  <c r="N44" i="4"/>
  <c r="L45" i="4"/>
  <c r="N45" i="4"/>
  <c r="L46" i="4"/>
  <c r="N46" i="4"/>
  <c r="L47" i="4"/>
  <c r="N47" i="4"/>
  <c r="L48" i="4"/>
  <c r="N48" i="4"/>
  <c r="L49" i="4"/>
  <c r="N49" i="4"/>
  <c r="L50" i="4"/>
  <c r="N50" i="4"/>
  <c r="L51" i="4"/>
  <c r="N51" i="4"/>
  <c r="L52" i="4"/>
  <c r="N52" i="4"/>
  <c r="L53" i="4"/>
  <c r="N53" i="4"/>
  <c r="L54" i="4"/>
  <c r="N54" i="4"/>
  <c r="L55" i="4"/>
  <c r="N55" i="4"/>
  <c r="L56" i="4"/>
  <c r="N56" i="4"/>
  <c r="L57" i="4"/>
  <c r="N57" i="4"/>
  <c r="L58" i="4"/>
  <c r="N58" i="4"/>
  <c r="L59" i="4"/>
  <c r="N59" i="4"/>
  <c r="L60" i="4"/>
  <c r="N60" i="4"/>
  <c r="L61" i="4"/>
  <c r="N61" i="4"/>
  <c r="L62" i="4"/>
  <c r="N62" i="4"/>
  <c r="L63" i="4"/>
  <c r="N63" i="4"/>
  <c r="L64" i="4"/>
  <c r="N64" i="4"/>
  <c r="L65" i="4"/>
  <c r="N65" i="4"/>
  <c r="L66" i="4"/>
  <c r="N66" i="4"/>
  <c r="L67" i="4"/>
  <c r="N67" i="4"/>
  <c r="L68" i="4"/>
  <c r="N68" i="4"/>
  <c r="L69" i="4"/>
  <c r="N69" i="4"/>
  <c r="L70" i="4"/>
  <c r="N70" i="4"/>
  <c r="L71" i="4"/>
  <c r="N71" i="4"/>
  <c r="L72" i="4"/>
  <c r="N72" i="4"/>
  <c r="D89" i="4"/>
  <c r="D91" i="4"/>
  <c r="J93" i="4"/>
  <c r="L93" i="4"/>
  <c r="D96" i="4"/>
  <c r="J99" i="4"/>
  <c r="J100" i="4"/>
  <c r="O109" i="4"/>
  <c r="O110" i="4"/>
  <c r="O111" i="4"/>
  <c r="M115" i="4"/>
  <c r="O115" i="4"/>
  <c r="M116" i="4"/>
  <c r="O116" i="4"/>
  <c r="M117" i="4"/>
  <c r="O117" i="4"/>
  <c r="M118" i="4"/>
  <c r="O118" i="4"/>
  <c r="M119" i="4"/>
  <c r="O119" i="4"/>
  <c r="M120" i="4"/>
  <c r="O120" i="4"/>
  <c r="M121" i="4"/>
  <c r="O121" i="4"/>
  <c r="M122" i="4"/>
  <c r="O122" i="4"/>
  <c r="M123" i="4"/>
  <c r="O123" i="4"/>
  <c r="M124" i="4"/>
  <c r="O124" i="4"/>
  <c r="M125" i="4"/>
  <c r="O125" i="4"/>
  <c r="M126" i="4"/>
  <c r="O126" i="4"/>
  <c r="M127" i="4"/>
  <c r="O127" i="4"/>
  <c r="M128" i="4"/>
  <c r="O128" i="4"/>
  <c r="M129" i="4"/>
  <c r="O129" i="4"/>
  <c r="M130" i="4"/>
  <c r="O130" i="4"/>
  <c r="M131" i="4"/>
  <c r="O131" i="4"/>
  <c r="M132" i="4"/>
  <c r="O132" i="4"/>
  <c r="M133" i="4"/>
  <c r="O133" i="4"/>
  <c r="M134" i="4"/>
  <c r="O134" i="4"/>
  <c r="M135" i="4"/>
  <c r="O135" i="4"/>
  <c r="M136" i="4"/>
  <c r="O136" i="4"/>
  <c r="M137" i="4"/>
  <c r="O137" i="4"/>
  <c r="M138" i="4"/>
  <c r="O138" i="4"/>
  <c r="M139" i="4"/>
  <c r="O139" i="4"/>
  <c r="M140" i="4"/>
  <c r="O140" i="4"/>
  <c r="M141" i="4"/>
  <c r="O141" i="4"/>
  <c r="M142" i="4"/>
  <c r="O142" i="4"/>
  <c r="M143" i="4"/>
  <c r="O143" i="4"/>
  <c r="M144" i="4"/>
  <c r="O144" i="4"/>
  <c r="M145" i="4"/>
  <c r="O145" i="4"/>
  <c r="M146" i="4"/>
  <c r="O146" i="4"/>
  <c r="M147" i="4"/>
  <c r="O147" i="4"/>
  <c r="M148" i="4"/>
  <c r="O148" i="4"/>
  <c r="M149" i="4"/>
  <c r="O149" i="4"/>
  <c r="M150" i="4"/>
  <c r="O150" i="4"/>
  <c r="M151" i="4"/>
  <c r="O151" i="4"/>
  <c r="M152" i="4"/>
  <c r="O152" i="4"/>
  <c r="M153" i="4"/>
  <c r="O153" i="4"/>
  <c r="M154" i="4"/>
  <c r="O154" i="4"/>
  <c r="K11" i="3"/>
  <c r="I17" i="3"/>
  <c r="L17" i="3"/>
  <c r="N17" i="3"/>
  <c r="N28" i="3"/>
  <c r="N29" i="3"/>
  <c r="N30" i="3"/>
  <c r="N31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J100" i="3"/>
  <c r="O109" i="3"/>
  <c r="O110" i="3"/>
  <c r="O111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D17" i="1"/>
  <c r="E18" i="1"/>
  <c r="E24" i="1"/>
  <c r="E31" i="1"/>
  <c r="E34" i="1"/>
  <c r="C40" i="1"/>
  <c r="C44" i="1"/>
  <c r="F44" i="1"/>
  <c r="F45" i="1"/>
  <c r="F46" i="1"/>
  <c r="F47" i="1"/>
  <c r="C52" i="1"/>
  <c r="F64" i="1"/>
  <c r="F58" i="1"/>
  <c r="F75" i="1"/>
  <c r="C89" i="1"/>
  <c r="C90" i="1"/>
  <c r="S132" i="1"/>
  <c r="S133" i="1"/>
  <c r="S134" i="1"/>
  <c r="I20" i="6"/>
  <c r="I19" i="6"/>
  <c r="B21" i="8"/>
  <c r="B21" i="6"/>
  <c r="B19" i="22"/>
  <c r="B23" i="7"/>
  <c r="B21" i="5"/>
  <c r="B21" i="4"/>
  <c r="I21" i="8"/>
  <c r="B20" i="3"/>
  <c r="I20" i="5"/>
  <c r="B23" i="11"/>
  <c r="I23" i="10"/>
  <c r="I19" i="22"/>
  <c r="I22" i="11"/>
  <c r="B22" i="8"/>
  <c r="I18" i="23"/>
  <c r="B20" i="22"/>
  <c r="I23" i="7"/>
  <c r="I17" i="25"/>
  <c r="B24" i="7"/>
  <c r="I20" i="4"/>
  <c r="B22" i="6"/>
  <c r="I20" i="3"/>
  <c r="I22" i="9"/>
  <c r="I17" i="24"/>
  <c r="B100" i="23"/>
  <c r="I21" i="6"/>
  <c r="B105" i="7"/>
  <c r="B101" i="22"/>
  <c r="B103" i="8"/>
  <c r="B103" i="6"/>
  <c r="B105" i="10"/>
  <c r="B102" i="4"/>
  <c r="J104" i="7"/>
  <c r="J99" i="23"/>
  <c r="J103" i="11"/>
  <c r="J103" i="9"/>
  <c r="J104" i="10"/>
  <c r="J101" i="3"/>
  <c r="J101" i="4"/>
  <c r="J102" i="6"/>
  <c r="J100" i="22"/>
  <c r="J102" i="8"/>
  <c r="J101" i="5"/>
  <c r="B18" i="25"/>
  <c r="B104" i="11"/>
  <c r="B24" i="10"/>
  <c r="B104" i="9"/>
  <c r="B23" i="9"/>
  <c r="B102" i="5"/>
  <c r="B102" i="3"/>
  <c r="B21" i="3"/>
  <c r="B19" i="25"/>
  <c r="B20" i="25"/>
  <c r="I18" i="25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B24" i="11"/>
  <c r="B21" i="22"/>
  <c r="B102" i="25"/>
  <c r="B25" i="7"/>
  <c r="B23" i="6"/>
  <c r="B22" i="3"/>
  <c r="B22" i="4"/>
  <c r="B103" i="4"/>
  <c r="B105" i="9"/>
  <c r="B106" i="7"/>
  <c r="B102" i="22"/>
  <c r="B103" i="3"/>
  <c r="B101" i="23"/>
  <c r="B105" i="11"/>
  <c r="B104" i="8"/>
  <c r="B106" i="10"/>
  <c r="B103" i="5"/>
  <c r="B21" i="25"/>
  <c r="B18" i="27"/>
  <c r="I18" i="24"/>
  <c r="B19" i="24"/>
  <c r="K18" i="24"/>
  <c r="L18" i="24" s="1"/>
  <c r="B18" i="24"/>
  <c r="C99" i="24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B25" i="10"/>
  <c r="B24" i="9"/>
  <c r="B23" i="8"/>
  <c r="B104" i="6"/>
  <c r="B22" i="5"/>
  <c r="M18" i="24"/>
  <c r="N18" i="24" s="1"/>
  <c r="B100" i="24"/>
  <c r="N99" i="24"/>
  <c r="O99" i="24" s="1"/>
  <c r="L99" i="24"/>
  <c r="M99" i="24" s="1"/>
  <c r="J99" i="24"/>
  <c r="B20" i="23"/>
  <c r="B23" i="5"/>
  <c r="B18" i="29"/>
  <c r="B18" i="28"/>
  <c r="B106" i="9"/>
  <c r="B103" i="22"/>
  <c r="B104" i="3"/>
  <c r="B105" i="6"/>
  <c r="B106" i="11"/>
  <c r="B104" i="5"/>
  <c r="B21" i="23"/>
  <c r="B22" i="25"/>
  <c r="B20" i="24"/>
  <c r="B23" i="3"/>
  <c r="B101" i="24"/>
  <c r="B103" i="25"/>
  <c r="B105" i="8"/>
  <c r="B23" i="4"/>
  <c r="B25" i="11"/>
  <c r="B25" i="9"/>
  <c r="B102" i="23"/>
  <c r="B22" i="22"/>
  <c r="B107" i="10"/>
  <c r="B26" i="10"/>
  <c r="B24" i="8"/>
  <c r="B107" i="7"/>
  <c r="B26" i="7"/>
  <c r="B24" i="6"/>
  <c r="B104" i="4"/>
  <c r="B18" i="31"/>
  <c r="B19" i="28"/>
  <c r="B25" i="6"/>
  <c r="B23" i="25"/>
  <c r="B22" i="23"/>
  <c r="B23" i="22"/>
  <c r="B102" i="24"/>
  <c r="B105" i="4"/>
  <c r="B104" i="25"/>
  <c r="B106" i="8"/>
  <c r="B105" i="5"/>
  <c r="B104" i="22"/>
  <c r="B26" i="11"/>
  <c r="B21" i="24"/>
  <c r="B25" i="8"/>
  <c r="B24" i="3"/>
  <c r="B27" i="10"/>
  <c r="B24" i="5"/>
  <c r="B107" i="11"/>
  <c r="B107" i="9"/>
  <c r="B108" i="7"/>
  <c r="B19" i="31"/>
  <c r="B100" i="29"/>
  <c r="B19" i="29"/>
  <c r="B108" i="10"/>
  <c r="B26" i="9"/>
  <c r="B27" i="7"/>
  <c r="B106" i="6"/>
  <c r="B24" i="4"/>
  <c r="B105" i="3"/>
  <c r="K18" i="27"/>
  <c r="L18" i="27" s="1"/>
  <c r="B103" i="23"/>
  <c r="B100" i="27"/>
  <c r="B19" i="27"/>
  <c r="I18" i="27"/>
  <c r="M18" i="27"/>
  <c r="N18" i="27" s="1"/>
  <c r="I19" i="27"/>
  <c r="B101" i="27"/>
  <c r="J100" i="27"/>
  <c r="B100" i="28"/>
  <c r="B18" i="30"/>
  <c r="B100" i="31"/>
  <c r="B106" i="4"/>
  <c r="J105" i="4"/>
  <c r="B107" i="6"/>
  <c r="J106" i="6"/>
  <c r="B106" i="5"/>
  <c r="B102" i="27"/>
  <c r="B101" i="28"/>
  <c r="B104" i="23"/>
  <c r="B100" i="30"/>
  <c r="B106" i="3"/>
  <c r="B101" i="31"/>
  <c r="B105" i="25"/>
  <c r="B25" i="5"/>
  <c r="B24" i="22"/>
  <c r="B20" i="31"/>
  <c r="B20" i="27"/>
  <c r="B25" i="4"/>
  <c r="B20" i="29"/>
  <c r="B19" i="30"/>
  <c r="B27" i="9"/>
  <c r="B25" i="3"/>
  <c r="B23" i="23"/>
  <c r="J101" i="27"/>
  <c r="B105" i="22"/>
  <c r="J105" i="5"/>
  <c r="J108" i="10"/>
  <c r="B107" i="8"/>
  <c r="J100" i="28"/>
  <c r="B109" i="7"/>
  <c r="J105" i="3"/>
  <c r="I18" i="30"/>
  <c r="I27" i="7"/>
  <c r="I26" i="9"/>
  <c r="B27" i="11"/>
  <c r="B26" i="8"/>
  <c r="I23" i="22"/>
  <c r="B22" i="24"/>
  <c r="I24" i="5"/>
  <c r="I23" i="25"/>
  <c r="I19" i="28"/>
  <c r="B26" i="6"/>
  <c r="I22" i="23"/>
  <c r="I24" i="3"/>
  <c r="I26" i="11"/>
  <c r="I25" i="8"/>
  <c r="I19" i="29"/>
  <c r="I24" i="4"/>
  <c r="I27" i="10"/>
  <c r="I19" i="31"/>
  <c r="I21" i="24"/>
  <c r="I25" i="6"/>
  <c r="J102" i="24"/>
  <c r="J106" i="8"/>
  <c r="J104" i="22"/>
  <c r="J100" i="29"/>
  <c r="J104" i="25"/>
  <c r="J108" i="7"/>
  <c r="J107" i="9"/>
  <c r="J100" i="31"/>
  <c r="J99" i="30"/>
  <c r="J107" i="11"/>
  <c r="J103" i="23"/>
  <c r="I20" i="27"/>
  <c r="B101" i="29"/>
  <c r="B108" i="9"/>
  <c r="B24" i="25"/>
  <c r="B20" i="28"/>
  <c r="B103" i="24"/>
  <c r="B108" i="11"/>
  <c r="B109" i="10"/>
  <c r="B28" i="10"/>
  <c r="B28" i="7"/>
  <c r="C99" i="13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18" i="1"/>
  <c r="C12" i="1"/>
  <c r="D19" i="1"/>
  <c r="B29" i="10"/>
  <c r="I24" i="25"/>
  <c r="B27" i="6"/>
  <c r="B20" i="30"/>
  <c r="B21" i="27"/>
  <c r="I17" i="39"/>
  <c r="B21" i="29"/>
  <c r="I27" i="9"/>
  <c r="B23" i="24"/>
  <c r="I22" i="24"/>
  <c r="B28" i="9"/>
  <c r="I23" i="23"/>
  <c r="B21" i="28"/>
  <c r="I20" i="28"/>
  <c r="I26" i="8"/>
  <c r="B24" i="23"/>
  <c r="I19" i="30"/>
  <c r="I26" i="6"/>
  <c r="I24" i="22"/>
  <c r="I28" i="10"/>
  <c r="I21" i="27"/>
  <c r="I20" i="29"/>
  <c r="B27" i="8"/>
  <c r="B102" i="29"/>
  <c r="B29" i="7"/>
  <c r="B26" i="4"/>
  <c r="I25" i="3"/>
  <c r="I27" i="11"/>
  <c r="B26" i="3"/>
  <c r="I25" i="4"/>
  <c r="I17" i="37"/>
  <c r="I28" i="7"/>
  <c r="B26" i="5"/>
  <c r="I25" i="5"/>
  <c r="J102" i="27"/>
  <c r="B107" i="3"/>
  <c r="B106" i="25"/>
  <c r="J105" i="25"/>
  <c r="J101" i="29"/>
  <c r="B106" i="22"/>
  <c r="B108" i="8"/>
  <c r="J106" i="3"/>
  <c r="J100" i="30"/>
  <c r="B107" i="4"/>
  <c r="J108" i="9"/>
  <c r="B110" i="10"/>
  <c r="B109" i="11"/>
  <c r="B104" i="24"/>
  <c r="B105" i="23"/>
  <c r="B102" i="28"/>
  <c r="J109" i="10"/>
  <c r="J104" i="23"/>
  <c r="J108" i="11"/>
  <c r="J106" i="4"/>
  <c r="J105" i="22"/>
  <c r="J107" i="8"/>
  <c r="J107" i="6"/>
  <c r="J101" i="28"/>
  <c r="J103" i="24"/>
  <c r="B18" i="39"/>
  <c r="B18" i="37"/>
  <c r="B103" i="27"/>
  <c r="B25" i="25"/>
  <c r="B25" i="22"/>
  <c r="B28" i="11"/>
  <c r="B109" i="9"/>
  <c r="B107" i="5"/>
  <c r="A2" i="2"/>
  <c r="I10" i="7"/>
  <c r="I10" i="25"/>
  <c r="D93" i="25" s="1"/>
  <c r="C99" i="25" s="1"/>
  <c r="I10" i="31"/>
  <c r="D94" i="31" s="1"/>
  <c r="B110" i="7"/>
  <c r="J109" i="7"/>
  <c r="J106" i="5"/>
  <c r="C99" i="40"/>
  <c r="C100" i="40" s="1"/>
  <c r="C101" i="40" s="1"/>
  <c r="C102" i="40" s="1"/>
  <c r="C103" i="40" s="1"/>
  <c r="C104" i="40" s="1"/>
  <c r="C105" i="40" s="1"/>
  <c r="C106" i="40" s="1"/>
  <c r="C107" i="40" s="1"/>
  <c r="C108" i="40" s="1"/>
  <c r="C109" i="40" s="1"/>
  <c r="C110" i="40" s="1"/>
  <c r="C111" i="40" s="1"/>
  <c r="C112" i="40" s="1"/>
  <c r="C113" i="40" s="1"/>
  <c r="C114" i="40" s="1"/>
  <c r="C115" i="40" s="1"/>
  <c r="C116" i="40" s="1"/>
  <c r="C117" i="40" s="1"/>
  <c r="C118" i="40" s="1"/>
  <c r="C119" i="40" s="1"/>
  <c r="C120" i="40" s="1"/>
  <c r="C121" i="40" s="1"/>
  <c r="C122" i="40" s="1"/>
  <c r="C123" i="40" s="1"/>
  <c r="C124" i="40" s="1"/>
  <c r="C125" i="40" s="1"/>
  <c r="C126" i="40" s="1"/>
  <c r="C127" i="40" s="1"/>
  <c r="C128" i="40" s="1"/>
  <c r="C129" i="40" s="1"/>
  <c r="C130" i="40" s="1"/>
  <c r="C131" i="40" s="1"/>
  <c r="C132" i="40" s="1"/>
  <c r="C133" i="40" s="1"/>
  <c r="C134" i="40" s="1"/>
  <c r="C135" i="40" s="1"/>
  <c r="C136" i="40" s="1"/>
  <c r="C137" i="40" s="1"/>
  <c r="C138" i="40" s="1"/>
  <c r="C139" i="40" s="1"/>
  <c r="C140" i="40" s="1"/>
  <c r="C141" i="40" s="1"/>
  <c r="C142" i="40" s="1"/>
  <c r="C143" i="40" s="1"/>
  <c r="C144" i="40" s="1"/>
  <c r="C145" i="40" s="1"/>
  <c r="C146" i="40" s="1"/>
  <c r="C147" i="40" s="1"/>
  <c r="C148" i="40" s="1"/>
  <c r="C149" i="40" s="1"/>
  <c r="C150" i="40" s="1"/>
  <c r="C151" i="40" s="1"/>
  <c r="C152" i="40" s="1"/>
  <c r="C153" i="40" s="1"/>
  <c r="C154" i="40" s="1"/>
  <c r="I10" i="40"/>
  <c r="I10" i="27"/>
  <c r="I10" i="8"/>
  <c r="I10" i="41"/>
  <c r="I10" i="22"/>
  <c r="D94" i="22" s="1"/>
  <c r="I10" i="6"/>
  <c r="D93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I10" i="37"/>
  <c r="D93" i="37" s="1"/>
  <c r="C99" i="37" s="1"/>
  <c r="C100" i="37" s="1"/>
  <c r="C101" i="37" s="1"/>
  <c r="C102" i="37" s="1"/>
  <c r="C103" i="37" s="1"/>
  <c r="C104" i="37" s="1"/>
  <c r="I10" i="28"/>
  <c r="I10" i="39"/>
  <c r="D93" i="39" s="1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I10" i="3"/>
  <c r="D94" i="3" s="1"/>
  <c r="I10" i="10"/>
  <c r="D94" i="10" s="1"/>
  <c r="I10" i="23"/>
  <c r="D93" i="23" s="1"/>
  <c r="I10" i="24"/>
  <c r="I10" i="5"/>
  <c r="D93" i="5" s="1"/>
  <c r="I10" i="11"/>
  <c r="D93" i="11" s="1"/>
  <c r="I10" i="42"/>
  <c r="I10" i="4"/>
  <c r="D93" i="4" s="1"/>
  <c r="I10" i="29"/>
  <c r="D94" i="29" s="1"/>
  <c r="I10" i="38"/>
  <c r="I10" i="30"/>
  <c r="D93" i="30" s="1"/>
  <c r="C99" i="30" s="1"/>
  <c r="I10" i="9"/>
  <c r="I10" i="13"/>
  <c r="D92" i="13" s="1"/>
  <c r="E99" i="13" s="1"/>
  <c r="B108" i="6"/>
  <c r="B21" i="31"/>
  <c r="I20" i="31"/>
  <c r="J101" i="31"/>
  <c r="B102" i="31"/>
  <c r="J92" i="41"/>
  <c r="L86" i="41" s="1"/>
  <c r="B109" i="6"/>
  <c r="B110" i="11"/>
  <c r="B18" i="38"/>
  <c r="I17" i="38"/>
  <c r="B108" i="5"/>
  <c r="B107" i="22"/>
  <c r="J103" i="27"/>
  <c r="J107" i="5"/>
  <c r="J108" i="6"/>
  <c r="B28" i="6"/>
  <c r="B27" i="4"/>
  <c r="B25" i="23"/>
  <c r="B22" i="31"/>
  <c r="B26" i="25"/>
  <c r="B18" i="40"/>
  <c r="B29" i="11"/>
  <c r="B27" i="5"/>
  <c r="B22" i="29"/>
  <c r="B30" i="7"/>
  <c r="B19" i="39"/>
  <c r="B18" i="41"/>
  <c r="J106" i="22"/>
  <c r="J102" i="28"/>
  <c r="J108" i="8"/>
  <c r="I20" i="30"/>
  <c r="I21" i="31"/>
  <c r="I27" i="8"/>
  <c r="I28" i="9"/>
  <c r="I27" i="6"/>
  <c r="I29" i="10"/>
  <c r="I26" i="3"/>
  <c r="I26" i="4"/>
  <c r="I18" i="39"/>
  <c r="I29" i="7"/>
  <c r="I17" i="40"/>
  <c r="I17" i="42"/>
  <c r="I18" i="37"/>
  <c r="B29" i="9"/>
  <c r="I23" i="24"/>
  <c r="I18" i="38"/>
  <c r="I28" i="11"/>
  <c r="I25" i="25"/>
  <c r="I21" i="28"/>
  <c r="I26" i="5"/>
  <c r="I17" i="41"/>
  <c r="I21" i="29"/>
  <c r="B21" i="30"/>
  <c r="B19" i="37"/>
  <c r="I24" i="23"/>
  <c r="I25" i="22"/>
  <c r="B19" i="38"/>
  <c r="B103" i="28"/>
  <c r="B22" i="28"/>
  <c r="B109" i="8"/>
  <c r="B27" i="3"/>
  <c r="B101" i="30"/>
  <c r="B104" i="27"/>
  <c r="B111" i="10"/>
  <c r="B100" i="38"/>
  <c r="J109" i="11"/>
  <c r="B103" i="29"/>
  <c r="J102" i="29"/>
  <c r="B22" i="27"/>
  <c r="B102" i="30"/>
  <c r="J110" i="10"/>
  <c r="B100" i="39"/>
  <c r="B103" i="31"/>
  <c r="J99" i="37"/>
  <c r="B105" i="24"/>
  <c r="J99" i="38"/>
  <c r="B111" i="7"/>
  <c r="B107" i="25"/>
  <c r="B108" i="3"/>
  <c r="B108" i="4"/>
  <c r="B106" i="23"/>
  <c r="I22" i="27"/>
  <c r="B110" i="9"/>
  <c r="J99" i="39"/>
  <c r="J109" i="9"/>
  <c r="J105" i="23"/>
  <c r="J106" i="25"/>
  <c r="J110" i="7"/>
  <c r="J104" i="24"/>
  <c r="J107" i="4"/>
  <c r="J107" i="3"/>
  <c r="J102" i="31"/>
  <c r="J101" i="30"/>
  <c r="I10" i="44"/>
  <c r="I10" i="46"/>
  <c r="I10" i="43"/>
  <c r="F62" i="17"/>
  <c r="E62" i="17"/>
  <c r="N62" i="17"/>
  <c r="D62" i="17"/>
  <c r="C62" i="17"/>
  <c r="O62" i="17"/>
  <c r="J95" i="57" l="1"/>
  <c r="I13" i="57"/>
  <c r="G18" i="57"/>
  <c r="K18" i="57" s="1"/>
  <c r="L18" i="57" s="1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69" i="57"/>
  <c r="G70" i="57"/>
  <c r="G71" i="57"/>
  <c r="G72" i="57"/>
  <c r="I12" i="56"/>
  <c r="I13" i="56" s="1"/>
  <c r="I12" i="51"/>
  <c r="I12" i="52"/>
  <c r="I12" i="50"/>
  <c r="I13" i="50" s="1"/>
  <c r="J94" i="56"/>
  <c r="J94" i="50"/>
  <c r="J94" i="51"/>
  <c r="J94" i="52"/>
  <c r="D8" i="3"/>
  <c r="D90" i="3" s="1"/>
  <c r="P99" i="3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O23" i="23"/>
  <c r="O24" i="8"/>
  <c r="P103" i="7"/>
  <c r="P102" i="9"/>
  <c r="P102" i="11"/>
  <c r="P103" i="11"/>
  <c r="O20" i="25"/>
  <c r="P100" i="25"/>
  <c r="P103" i="8"/>
  <c r="P99" i="10"/>
  <c r="P101" i="7"/>
  <c r="P101" i="4"/>
  <c r="P104" i="7"/>
  <c r="P99" i="23"/>
  <c r="O25" i="10"/>
  <c r="O26" i="7"/>
  <c r="O25" i="9"/>
  <c r="O18" i="39"/>
  <c r="O19" i="6"/>
  <c r="P103" i="27"/>
  <c r="C59" i="1"/>
  <c r="O23" i="7"/>
  <c r="P99" i="5"/>
  <c r="P100" i="11"/>
  <c r="P102" i="24"/>
  <c r="I12" i="3"/>
  <c r="I13" i="3" s="1"/>
  <c r="O20" i="5"/>
  <c r="O21" i="11"/>
  <c r="O22" i="7"/>
  <c r="O19" i="3"/>
  <c r="P104" i="10"/>
  <c r="P109" i="10"/>
  <c r="P102" i="4"/>
  <c r="O22" i="6"/>
  <c r="O24" i="7"/>
  <c r="P105" i="10"/>
  <c r="P104" i="11"/>
  <c r="P101" i="22"/>
  <c r="O27" i="9"/>
  <c r="P100" i="30"/>
  <c r="O17" i="37"/>
  <c r="P100" i="6"/>
  <c r="O20" i="4"/>
  <c r="O18" i="25"/>
  <c r="P99" i="7"/>
  <c r="O19" i="7"/>
  <c r="P100" i="5"/>
  <c r="P100" i="23"/>
  <c r="P103" i="5"/>
  <c r="P106" i="7"/>
  <c r="P102" i="22"/>
  <c r="O17" i="28"/>
  <c r="P99" i="27"/>
  <c r="O23" i="5"/>
  <c r="O24" i="6"/>
  <c r="P99" i="29"/>
  <c r="O18" i="31"/>
  <c r="O24" i="4"/>
  <c r="O24" i="25"/>
  <c r="O20" i="28"/>
  <c r="O17" i="4"/>
  <c r="O18" i="22"/>
  <c r="O23" i="6"/>
  <c r="O24" i="11"/>
  <c r="P104" i="4"/>
  <c r="P105" i="6"/>
  <c r="P103" i="24"/>
  <c r="P100" i="24"/>
  <c r="P99" i="39"/>
  <c r="O19" i="5"/>
  <c r="P102" i="10"/>
  <c r="P101" i="11"/>
  <c r="O33" i="27"/>
  <c r="P103" i="6"/>
  <c r="P102" i="25"/>
  <c r="O58" i="37"/>
  <c r="O24" i="5"/>
  <c r="O27" i="7"/>
  <c r="O26" i="9"/>
  <c r="O19" i="29"/>
  <c r="P101" i="29"/>
  <c r="P107" i="3"/>
  <c r="P108" i="8"/>
  <c r="P102" i="5"/>
  <c r="P106" i="10"/>
  <c r="P105" i="11"/>
  <c r="O26" i="10"/>
  <c r="O25" i="11"/>
  <c r="P105" i="4"/>
  <c r="P106" i="8"/>
  <c r="P102" i="27"/>
  <c r="O26" i="6"/>
  <c r="P99" i="37"/>
  <c r="I12" i="40"/>
  <c r="I13" i="40" s="1"/>
  <c r="O18" i="6"/>
  <c r="O24" i="10"/>
  <c r="P101" i="25"/>
  <c r="P107" i="7"/>
  <c r="P105" i="8"/>
  <c r="P101" i="24"/>
  <c r="P105" i="22"/>
  <c r="I12" i="38"/>
  <c r="I13" i="38" s="1"/>
  <c r="I12" i="25"/>
  <c r="I13" i="25" s="1"/>
  <c r="F18" i="1"/>
  <c r="P102" i="7"/>
  <c r="O17" i="23"/>
  <c r="P106" i="9"/>
  <c r="P109" i="7"/>
  <c r="P107" i="8"/>
  <c r="O27" i="11"/>
  <c r="O20" i="29"/>
  <c r="O20" i="31"/>
  <c r="P106" i="22"/>
  <c r="O18" i="28"/>
  <c r="P99" i="38"/>
  <c r="I12" i="13"/>
  <c r="I13" i="13" s="1"/>
  <c r="I12" i="42"/>
  <c r="I13" i="42" s="1"/>
  <c r="P102" i="6"/>
  <c r="P103" i="9"/>
  <c r="O17" i="9"/>
  <c r="O21" i="10"/>
  <c r="O17" i="25"/>
  <c r="P99" i="25"/>
  <c r="O22" i="3"/>
  <c r="O22" i="4"/>
  <c r="O22" i="5"/>
  <c r="O24" i="9"/>
  <c r="O21" i="22"/>
  <c r="P104" i="5"/>
  <c r="O22" i="25"/>
  <c r="P99" i="28"/>
  <c r="O17" i="39"/>
  <c r="P107" i="11"/>
  <c r="O23" i="25"/>
  <c r="P99" i="30"/>
  <c r="P108" i="11"/>
  <c r="O24" i="22"/>
  <c r="P99" i="4"/>
  <c r="I12" i="28"/>
  <c r="I13" i="28" s="1"/>
  <c r="O20" i="7"/>
  <c r="O17" i="7"/>
  <c r="O18" i="9"/>
  <c r="P99" i="11"/>
  <c r="O19" i="11"/>
  <c r="P100" i="22"/>
  <c r="O20" i="11"/>
  <c r="O23" i="9"/>
  <c r="O23" i="4"/>
  <c r="P103" i="23"/>
  <c r="P107" i="10"/>
  <c r="P106" i="11"/>
  <c r="P103" i="22"/>
  <c r="O21" i="23"/>
  <c r="O19" i="25"/>
  <c r="O22" i="22"/>
  <c r="P102" i="23"/>
  <c r="P101" i="5"/>
  <c r="P106" i="4"/>
  <c r="P104" i="23"/>
  <c r="D8" i="23"/>
  <c r="D90" i="23" s="1"/>
  <c r="P101" i="3"/>
  <c r="O20" i="10"/>
  <c r="P99" i="6"/>
  <c r="O18" i="4"/>
  <c r="O21" i="9"/>
  <c r="O18" i="23"/>
  <c r="O21" i="5"/>
  <c r="O22" i="8"/>
  <c r="P103" i="3"/>
  <c r="P104" i="3"/>
  <c r="O20" i="24"/>
  <c r="C77" i="1"/>
  <c r="F99" i="13"/>
  <c r="G99" i="13" s="1"/>
  <c r="O18" i="27"/>
  <c r="F14" i="2"/>
  <c r="E19" i="2" s="1"/>
  <c r="F19" i="2" s="1"/>
  <c r="O18" i="8"/>
  <c r="O19" i="9"/>
  <c r="O43" i="27"/>
  <c r="P102" i="3"/>
  <c r="O31" i="39"/>
  <c r="O35" i="39"/>
  <c r="O45" i="39"/>
  <c r="O67" i="39"/>
  <c r="P101" i="27"/>
  <c r="P106" i="25"/>
  <c r="P99" i="3"/>
  <c r="O17" i="3"/>
  <c r="O17" i="6"/>
  <c r="P101" i="9"/>
  <c r="R12" i="17"/>
  <c r="T12" i="17" s="1"/>
  <c r="P103" i="10"/>
  <c r="P99" i="22"/>
  <c r="O21" i="4"/>
  <c r="P108" i="7"/>
  <c r="O28" i="10"/>
  <c r="P102" i="29"/>
  <c r="P102" i="31"/>
  <c r="O37" i="22"/>
  <c r="J94" i="10"/>
  <c r="J95" i="10" s="1"/>
  <c r="J94" i="24"/>
  <c r="J95" i="24" s="1"/>
  <c r="J94" i="40"/>
  <c r="J95" i="40" s="1"/>
  <c r="J94" i="5"/>
  <c r="J95" i="5" s="1"/>
  <c r="J94" i="42"/>
  <c r="J95" i="42" s="1"/>
  <c r="J94" i="37"/>
  <c r="J95" i="37" s="1"/>
  <c r="I12" i="31"/>
  <c r="I13" i="31" s="1"/>
  <c r="I12" i="22"/>
  <c r="I13" i="22" s="1"/>
  <c r="I12" i="8"/>
  <c r="I13" i="8" s="1"/>
  <c r="I12" i="30"/>
  <c r="I13" i="30" s="1"/>
  <c r="I12" i="29"/>
  <c r="I13" i="29" s="1"/>
  <c r="O20" i="22"/>
  <c r="I12" i="27"/>
  <c r="I13" i="27" s="1"/>
  <c r="I12" i="23"/>
  <c r="I13" i="23" s="1"/>
  <c r="I12" i="5"/>
  <c r="I13" i="5" s="1"/>
  <c r="I12" i="11"/>
  <c r="I13" i="11" s="1"/>
  <c r="I12" i="10"/>
  <c r="I13" i="10" s="1"/>
  <c r="I12" i="24"/>
  <c r="I13" i="24" s="1"/>
  <c r="O18" i="5"/>
  <c r="P105" i="7"/>
  <c r="P110" i="10"/>
  <c r="P104" i="24"/>
  <c r="I12" i="39"/>
  <c r="I13" i="39" s="1"/>
  <c r="I12" i="7"/>
  <c r="I13" i="7" s="1"/>
  <c r="I12" i="41"/>
  <c r="I13" i="41" s="1"/>
  <c r="I12" i="9"/>
  <c r="I13" i="9" s="1"/>
  <c r="I12" i="6"/>
  <c r="I13" i="6" s="1"/>
  <c r="I12" i="4"/>
  <c r="I13" i="4" s="1"/>
  <c r="I12" i="37"/>
  <c r="I13" i="37" s="1"/>
  <c r="O19" i="4"/>
  <c r="P101" i="8"/>
  <c r="P99" i="8"/>
  <c r="O20" i="8"/>
  <c r="P101" i="10"/>
  <c r="O17" i="10"/>
  <c r="O20" i="9"/>
  <c r="O18" i="3"/>
  <c r="O21" i="3"/>
  <c r="P104" i="8"/>
  <c r="O17" i="29"/>
  <c r="O23" i="3"/>
  <c r="O17" i="38"/>
  <c r="O54" i="40"/>
  <c r="O60" i="40"/>
  <c r="O26" i="11"/>
  <c r="O25" i="3"/>
  <c r="O25" i="4"/>
  <c r="P106" i="5"/>
  <c r="O27" i="8"/>
  <c r="O25" i="22"/>
  <c r="O23" i="24"/>
  <c r="P102" i="28"/>
  <c r="O17" i="40"/>
  <c r="P100" i="3"/>
  <c r="P101" i="6"/>
  <c r="O20" i="6"/>
  <c r="O17" i="8"/>
  <c r="O22" i="10"/>
  <c r="O18" i="10"/>
  <c r="O17" i="24"/>
  <c r="P104" i="9"/>
  <c r="P103" i="4"/>
  <c r="P105" i="9"/>
  <c r="O20" i="23"/>
  <c r="P101" i="23"/>
  <c r="O17" i="31"/>
  <c r="O19" i="27"/>
  <c r="P100" i="27"/>
  <c r="P105" i="5"/>
  <c r="P106" i="6"/>
  <c r="P104" i="25"/>
  <c r="O19" i="31"/>
  <c r="O25" i="5"/>
  <c r="P108" i="9"/>
  <c r="O21" i="27"/>
  <c r="O19" i="30"/>
  <c r="P107" i="5"/>
  <c r="P99" i="24"/>
  <c r="F17" i="1"/>
  <c r="P100" i="4"/>
  <c r="O17" i="5"/>
  <c r="P100" i="7"/>
  <c r="O21" i="7"/>
  <c r="P102" i="8"/>
  <c r="O19" i="10"/>
  <c r="O17" i="11"/>
  <c r="O17" i="27"/>
  <c r="O25" i="7"/>
  <c r="O23" i="8"/>
  <c r="O55" i="31"/>
  <c r="O24" i="3"/>
  <c r="O27" i="10"/>
  <c r="O23" i="22"/>
  <c r="O22" i="24"/>
  <c r="C61" i="2"/>
  <c r="C76" i="2"/>
  <c r="J94" i="39"/>
  <c r="J95" i="39" s="1"/>
  <c r="J94" i="41"/>
  <c r="J95" i="41" s="1"/>
  <c r="J94" i="22"/>
  <c r="J95" i="22" s="1"/>
  <c r="F17" i="2"/>
  <c r="J94" i="29"/>
  <c r="J95" i="29" s="1"/>
  <c r="J94" i="23"/>
  <c r="J95" i="23" s="1"/>
  <c r="J94" i="31"/>
  <c r="J95" i="31" s="1"/>
  <c r="F18" i="2"/>
  <c r="T14" i="17"/>
  <c r="E13" i="17"/>
  <c r="O43" i="22"/>
  <c r="O31" i="9"/>
  <c r="O71" i="13"/>
  <c r="O69" i="13"/>
  <c r="O65" i="13"/>
  <c r="O63" i="13"/>
  <c r="O61" i="13"/>
  <c r="O59" i="13"/>
  <c r="O57" i="13"/>
  <c r="O45" i="13"/>
  <c r="O41" i="13"/>
  <c r="O35" i="13"/>
  <c r="O25" i="13"/>
  <c r="O23" i="13"/>
  <c r="O21" i="13"/>
  <c r="O19" i="13"/>
  <c r="O65" i="38"/>
  <c r="O69" i="11"/>
  <c r="O37" i="11"/>
  <c r="O70" i="23"/>
  <c r="O64" i="23"/>
  <c r="O60" i="23"/>
  <c r="O58" i="23"/>
  <c r="O54" i="23"/>
  <c r="O52" i="23"/>
  <c r="O50" i="23"/>
  <c r="O46" i="23"/>
  <c r="O42" i="23"/>
  <c r="O39" i="28"/>
  <c r="O53" i="28"/>
  <c r="O57" i="28"/>
  <c r="O71" i="28"/>
  <c r="O52" i="30"/>
  <c r="O30" i="37"/>
  <c r="O54" i="37"/>
  <c r="O62" i="37"/>
  <c r="O72" i="25"/>
  <c r="O25" i="44"/>
  <c r="O33" i="44"/>
  <c r="O41" i="44"/>
  <c r="O49" i="44"/>
  <c r="O57" i="44"/>
  <c r="O65" i="44"/>
  <c r="O69" i="44"/>
  <c r="O62" i="8"/>
  <c r="O58" i="8"/>
  <c r="O54" i="13"/>
  <c r="O50" i="13"/>
  <c r="O46" i="13"/>
  <c r="O67" i="29"/>
  <c r="O38" i="38"/>
  <c r="O51" i="42"/>
  <c r="O71" i="22"/>
  <c r="O67" i="22"/>
  <c r="O47" i="30"/>
  <c r="O29" i="5"/>
  <c r="O39" i="6"/>
  <c r="O58" i="9"/>
  <c r="O38" i="9"/>
  <c r="O59" i="22"/>
  <c r="O47" i="22"/>
  <c r="O41" i="22"/>
  <c r="O39" i="22"/>
  <c r="O29" i="22"/>
  <c r="O23" i="30"/>
  <c r="O37" i="31"/>
  <c r="O51" i="31"/>
  <c r="O41" i="39"/>
  <c r="O51" i="39"/>
  <c r="O55" i="39"/>
  <c r="O45" i="40"/>
  <c r="O52" i="44"/>
  <c r="O38" i="5"/>
  <c r="O25" i="27"/>
  <c r="O37" i="27"/>
  <c r="O39" i="27"/>
  <c r="O45" i="27"/>
  <c r="O47" i="27"/>
  <c r="O51" i="27"/>
  <c r="O53" i="27"/>
  <c r="O55" i="27"/>
  <c r="O57" i="27"/>
  <c r="O59" i="27"/>
  <c r="O61" i="27"/>
  <c r="O65" i="27"/>
  <c r="O67" i="27"/>
  <c r="O26" i="29"/>
  <c r="O34" i="29"/>
  <c r="O36" i="29"/>
  <c r="O40" i="29"/>
  <c r="O22" i="37"/>
  <c r="O26" i="37"/>
  <c r="O28" i="37"/>
  <c r="O32" i="37"/>
  <c r="O34" i="37"/>
  <c r="O36" i="37"/>
  <c r="O38" i="37"/>
  <c r="O50" i="37"/>
  <c r="O52" i="37"/>
  <c r="O56" i="37"/>
  <c r="O66" i="37"/>
  <c r="O68" i="37"/>
  <c r="O70" i="37"/>
  <c r="O26" i="40"/>
  <c r="O28" i="40"/>
  <c r="O30" i="40"/>
  <c r="O32" i="40"/>
  <c r="O34" i="40"/>
  <c r="O36" i="40"/>
  <c r="O38" i="40"/>
  <c r="O40" i="40"/>
  <c r="O42" i="40"/>
  <c r="O44" i="40"/>
  <c r="O46" i="40"/>
  <c r="O50" i="40"/>
  <c r="O52" i="40"/>
  <c r="O56" i="40"/>
  <c r="O58" i="40"/>
  <c r="O62" i="40"/>
  <c r="O64" i="40"/>
  <c r="O66" i="40"/>
  <c r="O70" i="40"/>
  <c r="O72" i="40"/>
  <c r="O51" i="45"/>
  <c r="O55" i="45"/>
  <c r="O59" i="45"/>
  <c r="O67" i="45"/>
  <c r="O71" i="45"/>
  <c r="O33" i="41"/>
  <c r="O57" i="41"/>
  <c r="P101" i="31"/>
  <c r="O49" i="42"/>
  <c r="O31" i="38"/>
  <c r="O18" i="38"/>
  <c r="O60" i="37"/>
  <c r="O18" i="37"/>
  <c r="O23" i="31"/>
  <c r="O47" i="31"/>
  <c r="O50" i="29"/>
  <c r="O52" i="29"/>
  <c r="O56" i="29"/>
  <c r="O64" i="29"/>
  <c r="O22" i="27"/>
  <c r="O68" i="25"/>
  <c r="O64" i="25"/>
  <c r="O62" i="25"/>
  <c r="O60" i="25"/>
  <c r="O56" i="25"/>
  <c r="O54" i="25"/>
  <c r="O50" i="25"/>
  <c r="O48" i="25"/>
  <c r="O44" i="25"/>
  <c r="O36" i="25"/>
  <c r="O34" i="25"/>
  <c r="O30" i="25"/>
  <c r="O28" i="25"/>
  <c r="O71" i="24"/>
  <c r="O61" i="24"/>
  <c r="O37" i="24"/>
  <c r="O33" i="23"/>
  <c r="O53" i="9"/>
  <c r="O55" i="7"/>
  <c r="O49" i="7"/>
  <c r="O48" i="5"/>
  <c r="O40" i="5"/>
  <c r="O28" i="5"/>
  <c r="O26" i="5"/>
  <c r="D94" i="6"/>
  <c r="D94" i="13"/>
  <c r="D93" i="3"/>
  <c r="C99" i="3" s="1"/>
  <c r="D94" i="5"/>
  <c r="D94" i="23"/>
  <c r="O62" i="3"/>
  <c r="O34" i="3"/>
  <c r="O71" i="4"/>
  <c r="O55" i="4"/>
  <c r="O67" i="6"/>
  <c r="O47" i="6"/>
  <c r="O69" i="7"/>
  <c r="O65" i="7"/>
  <c r="O57" i="7"/>
  <c r="O51" i="7"/>
  <c r="O45" i="7"/>
  <c r="O39" i="7"/>
  <c r="O31" i="7"/>
  <c r="O25" i="31"/>
  <c r="O35" i="31"/>
  <c r="O41" i="31"/>
  <c r="O59" i="31"/>
  <c r="O67" i="31"/>
  <c r="O69" i="31"/>
  <c r="O71" i="31"/>
  <c r="O72" i="31"/>
  <c r="J92" i="25"/>
  <c r="M87" i="25" s="1"/>
  <c r="J92" i="10"/>
  <c r="N87" i="10" s="1"/>
  <c r="J92" i="42"/>
  <c r="L86" i="42" s="1"/>
  <c r="J92" i="30"/>
  <c r="L86" i="30" s="1"/>
  <c r="J92" i="40"/>
  <c r="L86" i="40" s="1"/>
  <c r="M19" i="2"/>
  <c r="J92" i="8"/>
  <c r="L86" i="8" s="1"/>
  <c r="J92" i="24"/>
  <c r="L86" i="24" s="1"/>
  <c r="J92" i="7"/>
  <c r="L86" i="7" s="1"/>
  <c r="J92" i="4"/>
  <c r="L86" i="4" s="1"/>
  <c r="J92" i="3"/>
  <c r="M87" i="3" s="1"/>
  <c r="J92" i="31"/>
  <c r="L86" i="31" s="1"/>
  <c r="J92" i="5"/>
  <c r="L86" i="5" s="1"/>
  <c r="J92" i="11"/>
  <c r="M87" i="11" s="1"/>
  <c r="J92" i="29"/>
  <c r="L86" i="29" s="1"/>
  <c r="J92" i="27"/>
  <c r="L86" i="27" s="1"/>
  <c r="J92" i="44"/>
  <c r="N87" i="44" s="1"/>
  <c r="J92" i="37"/>
  <c r="L86" i="37" s="1"/>
  <c r="J92" i="28"/>
  <c r="N87" i="28" s="1"/>
  <c r="J92" i="13"/>
  <c r="L86" i="13" s="1"/>
  <c r="J92" i="43"/>
  <c r="N87" i="43" s="1"/>
  <c r="J92" i="9"/>
  <c r="N87" i="9" s="1"/>
  <c r="J92" i="23"/>
  <c r="L86" i="23" s="1"/>
  <c r="A4" i="2"/>
  <c r="J92" i="6"/>
  <c r="L86" i="6" s="1"/>
  <c r="J92" i="38"/>
  <c r="L86" i="38" s="1"/>
  <c r="J92" i="22"/>
  <c r="M87" i="22" s="1"/>
  <c r="J92" i="39"/>
  <c r="N87" i="39" s="1"/>
  <c r="O26" i="46"/>
  <c r="O28" i="46"/>
  <c r="O30" i="46"/>
  <c r="O32" i="46"/>
  <c r="O46" i="46"/>
  <c r="O58" i="46"/>
  <c r="O62" i="46"/>
  <c r="B18" i="46"/>
  <c r="O34" i="46"/>
  <c r="O35" i="46"/>
  <c r="O43" i="46"/>
  <c r="O51" i="46"/>
  <c r="O69" i="46"/>
  <c r="C45" i="46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P55" i="17"/>
  <c r="O17" i="46"/>
  <c r="O33" i="46"/>
  <c r="O39" i="46"/>
  <c r="O41" i="46"/>
  <c r="O49" i="46"/>
  <c r="O57" i="46"/>
  <c r="O65" i="46"/>
  <c r="O71" i="46"/>
  <c r="O55" i="41"/>
  <c r="O20" i="39"/>
  <c r="O26" i="39"/>
  <c r="O32" i="39"/>
  <c r="O34" i="39"/>
  <c r="O38" i="39"/>
  <c r="O40" i="39"/>
  <c r="O44" i="39"/>
  <c r="O56" i="39"/>
  <c r="O58" i="39"/>
  <c r="O60" i="39"/>
  <c r="O64" i="39"/>
  <c r="O72" i="39"/>
  <c r="O28" i="43"/>
  <c r="O44" i="43"/>
  <c r="O17" i="41"/>
  <c r="O48" i="39"/>
  <c r="O21" i="28"/>
  <c r="O23" i="28"/>
  <c r="O25" i="28"/>
  <c r="O29" i="28"/>
  <c r="O31" i="28"/>
  <c r="O35" i="28"/>
  <c r="O45" i="28"/>
  <c r="O47" i="28"/>
  <c r="O59" i="28"/>
  <c r="O61" i="28"/>
  <c r="O65" i="28"/>
  <c r="O67" i="28"/>
  <c r="O71" i="25"/>
  <c r="O65" i="25"/>
  <c r="O63" i="25"/>
  <c r="O57" i="25"/>
  <c r="O55" i="25"/>
  <c r="O53" i="25"/>
  <c r="O51" i="25"/>
  <c r="O71" i="23"/>
  <c r="O69" i="23"/>
  <c r="O65" i="23"/>
  <c r="O63" i="23"/>
  <c r="O61" i="23"/>
  <c r="O59" i="23"/>
  <c r="O57" i="23"/>
  <c r="O55" i="23"/>
  <c r="O47" i="23"/>
  <c r="O43" i="23"/>
  <c r="O37" i="23"/>
  <c r="O28" i="11"/>
  <c r="O29" i="10"/>
  <c r="O28" i="9"/>
  <c r="O44" i="4"/>
  <c r="O26" i="3"/>
  <c r="P154" i="6"/>
  <c r="P150" i="6"/>
  <c r="P146" i="6"/>
  <c r="P144" i="6"/>
  <c r="P138" i="6"/>
  <c r="P136" i="6"/>
  <c r="P134" i="6"/>
  <c r="P132" i="6"/>
  <c r="P122" i="6"/>
  <c r="P116" i="6"/>
  <c r="O31" i="45"/>
  <c r="O33" i="45"/>
  <c r="O41" i="45"/>
  <c r="B18" i="44"/>
  <c r="O17" i="42"/>
  <c r="O21" i="42"/>
  <c r="O45" i="42"/>
  <c r="O60" i="43"/>
  <c r="O18" i="43"/>
  <c r="O26" i="43"/>
  <c r="O32" i="43"/>
  <c r="O36" i="43"/>
  <c r="O38" i="43"/>
  <c r="O48" i="43"/>
  <c r="O52" i="43"/>
  <c r="O54" i="43"/>
  <c r="O64" i="43"/>
  <c r="O68" i="43"/>
  <c r="O20" i="43"/>
  <c r="O40" i="43"/>
  <c r="O56" i="43"/>
  <c r="O70" i="43"/>
  <c r="O72" i="43"/>
  <c r="O37" i="42"/>
  <c r="O43" i="42"/>
  <c r="O53" i="42"/>
  <c r="O55" i="42"/>
  <c r="O59" i="42"/>
  <c r="O61" i="42"/>
  <c r="O21" i="41"/>
  <c r="O25" i="41"/>
  <c r="O27" i="41"/>
  <c r="O29" i="41"/>
  <c r="O31" i="41"/>
  <c r="O35" i="41"/>
  <c r="O45" i="41"/>
  <c r="O47" i="41"/>
  <c r="O59" i="41"/>
  <c r="O61" i="41"/>
  <c r="O63" i="41"/>
  <c r="O65" i="41"/>
  <c r="O67" i="41"/>
  <c r="O71" i="41"/>
  <c r="O19" i="38"/>
  <c r="O21" i="38"/>
  <c r="O29" i="38"/>
  <c r="O35" i="38"/>
  <c r="O39" i="38"/>
  <c r="O59" i="38"/>
  <c r="O61" i="38"/>
  <c r="O63" i="38"/>
  <c r="O67" i="38"/>
  <c r="O69" i="38"/>
  <c r="O71" i="38"/>
  <c r="O31" i="31"/>
  <c r="O33" i="31"/>
  <c r="O39" i="31"/>
  <c r="O43" i="31"/>
  <c r="O45" i="31"/>
  <c r="O49" i="28"/>
  <c r="O69" i="28"/>
  <c r="O72" i="28"/>
  <c r="O27" i="27"/>
  <c r="O49" i="27"/>
  <c r="O67" i="24"/>
  <c r="O65" i="24"/>
  <c r="O63" i="24"/>
  <c r="O55" i="24"/>
  <c r="O53" i="24"/>
  <c r="O47" i="24"/>
  <c r="O35" i="24"/>
  <c r="O33" i="24"/>
  <c r="O27" i="24"/>
  <c r="O25" i="24"/>
  <c r="O41" i="23"/>
  <c r="O39" i="23"/>
  <c r="O35" i="23"/>
  <c r="O31" i="23"/>
  <c r="O27" i="23"/>
  <c r="O67" i="11"/>
  <c r="O63" i="9"/>
  <c r="O61" i="9"/>
  <c r="O57" i="9"/>
  <c r="O51" i="9"/>
  <c r="O47" i="9"/>
  <c r="O72" i="8"/>
  <c r="O70" i="8"/>
  <c r="O68" i="8"/>
  <c r="O66" i="8"/>
  <c r="O60" i="8"/>
  <c r="O56" i="8"/>
  <c r="O54" i="8"/>
  <c r="O52" i="8"/>
  <c r="O50" i="8"/>
  <c r="O39" i="8"/>
  <c r="O57" i="6"/>
  <c r="O55" i="6"/>
  <c r="O51" i="6"/>
  <c r="O49" i="6"/>
  <c r="O45" i="6"/>
  <c r="O72" i="10"/>
  <c r="O66" i="10"/>
  <c r="O62" i="10"/>
  <c r="O60" i="10"/>
  <c r="O58" i="10"/>
  <c r="O56" i="10"/>
  <c r="O52" i="10"/>
  <c r="O46" i="10"/>
  <c r="O40" i="10"/>
  <c r="O38" i="10"/>
  <c r="O36" i="10"/>
  <c r="O32" i="10"/>
  <c r="O67" i="9"/>
  <c r="O65" i="9"/>
  <c r="O59" i="9"/>
  <c r="O49" i="9"/>
  <c r="O48" i="8"/>
  <c r="O67" i="7"/>
  <c r="O59" i="7"/>
  <c r="O53" i="7"/>
  <c r="O35" i="6"/>
  <c r="O31" i="6"/>
  <c r="O71" i="6"/>
  <c r="O65" i="6"/>
  <c r="O53" i="6"/>
  <c r="O68" i="3"/>
  <c r="O66" i="3"/>
  <c r="P130" i="45"/>
  <c r="P111" i="43"/>
  <c r="P115" i="43"/>
  <c r="P121" i="43"/>
  <c r="P112" i="29"/>
  <c r="P124" i="10"/>
  <c r="P123" i="5"/>
  <c r="P111" i="5"/>
  <c r="P153" i="5"/>
  <c r="P147" i="5"/>
  <c r="P145" i="5"/>
  <c r="P139" i="5"/>
  <c r="P131" i="5"/>
  <c r="D94" i="4"/>
  <c r="D94" i="25"/>
  <c r="P129" i="4"/>
  <c r="C82" i="2"/>
  <c r="C59" i="2"/>
  <c r="C14" i="2"/>
  <c r="C39" i="2"/>
  <c r="C77" i="2"/>
  <c r="C80" i="2"/>
  <c r="C28" i="2"/>
  <c r="C62" i="2"/>
  <c r="C10" i="2"/>
  <c r="C56" i="2"/>
  <c r="C8" i="2"/>
  <c r="C55" i="2"/>
  <c r="C73" i="2"/>
  <c r="C50" i="2"/>
  <c r="C22" i="2"/>
  <c r="P107" i="38"/>
  <c r="P128" i="25"/>
  <c r="O45" i="3"/>
  <c r="O51" i="29"/>
  <c r="O69" i="29"/>
  <c r="O71" i="29"/>
  <c r="O58" i="30"/>
  <c r="O52" i="31"/>
  <c r="O20" i="38"/>
  <c r="O63" i="11"/>
  <c r="O57" i="11"/>
  <c r="O62" i="13"/>
  <c r="O44" i="6"/>
  <c r="O42" i="6"/>
  <c r="O40" i="6"/>
  <c r="O38" i="6"/>
  <c r="O36" i="6"/>
  <c r="O32" i="6"/>
  <c r="O30" i="6"/>
  <c r="O49" i="25"/>
  <c r="O47" i="25"/>
  <c r="O45" i="25"/>
  <c r="O43" i="25"/>
  <c r="O54" i="46"/>
  <c r="O64" i="3"/>
  <c r="O60" i="3"/>
  <c r="O50" i="3"/>
  <c r="O46" i="3"/>
  <c r="O44" i="5"/>
  <c r="O41" i="7"/>
  <c r="O37" i="7"/>
  <c r="O45" i="9"/>
  <c r="O43" i="9"/>
  <c r="O41" i="9"/>
  <c r="O37" i="9"/>
  <c r="O33" i="9"/>
  <c r="O40" i="37"/>
  <c r="O25" i="46"/>
  <c r="O37" i="5"/>
  <c r="O48" i="7"/>
  <c r="O32" i="7"/>
  <c r="O64" i="7"/>
  <c r="O68" i="9"/>
  <c r="O62" i="9"/>
  <c r="O56" i="9"/>
  <c r="O42" i="9"/>
  <c r="O30" i="9"/>
  <c r="O36" i="23"/>
  <c r="O34" i="23"/>
  <c r="O32" i="23"/>
  <c r="O39" i="25"/>
  <c r="O37" i="25"/>
  <c r="O33" i="25"/>
  <c r="O29" i="25"/>
  <c r="O24" i="27"/>
  <c r="O26" i="27"/>
  <c r="O30" i="27"/>
  <c r="O32" i="27"/>
  <c r="O34" i="27"/>
  <c r="O36" i="27"/>
  <c r="O38" i="27"/>
  <c r="O40" i="27"/>
  <c r="O42" i="27"/>
  <c r="O44" i="27"/>
  <c r="O46" i="27"/>
  <c r="O52" i="27"/>
  <c r="O54" i="27"/>
  <c r="O56" i="27"/>
  <c r="O58" i="27"/>
  <c r="O60" i="27"/>
  <c r="O62" i="27"/>
  <c r="O64" i="27"/>
  <c r="O66" i="27"/>
  <c r="O68" i="27"/>
  <c r="O70" i="27"/>
  <c r="O72" i="27"/>
  <c r="O19" i="37"/>
  <c r="O21" i="37"/>
  <c r="O27" i="37"/>
  <c r="O33" i="37"/>
  <c r="O37" i="37"/>
  <c r="O41" i="37"/>
  <c r="O43" i="37"/>
  <c r="O45" i="37"/>
  <c r="O47" i="37"/>
  <c r="O49" i="37"/>
  <c r="O51" i="37"/>
  <c r="O53" i="37"/>
  <c r="O55" i="37"/>
  <c r="O57" i="37"/>
  <c r="O63" i="37"/>
  <c r="O65" i="37"/>
  <c r="O67" i="37"/>
  <c r="O69" i="37"/>
  <c r="O71" i="37"/>
  <c r="O22" i="38"/>
  <c r="O26" i="38"/>
  <c r="O30" i="38"/>
  <c r="O44" i="38"/>
  <c r="O54" i="38"/>
  <c r="O58" i="38"/>
  <c r="O60" i="38"/>
  <c r="O72" i="38"/>
  <c r="O69" i="41"/>
  <c r="O42" i="3"/>
  <c r="O38" i="3"/>
  <c r="O42" i="5"/>
  <c r="O30" i="5"/>
  <c r="O33" i="7"/>
  <c r="O72" i="11"/>
  <c r="O59" i="10"/>
  <c r="O55" i="10"/>
  <c r="O39" i="10"/>
  <c r="O69" i="22"/>
  <c r="O65" i="22"/>
  <c r="O55" i="22"/>
  <c r="O27" i="22"/>
  <c r="O72" i="23"/>
  <c r="O68" i="23"/>
  <c r="O66" i="23"/>
  <c r="O62" i="23"/>
  <c r="O40" i="23"/>
  <c r="O38" i="23"/>
  <c r="O58" i="25"/>
  <c r="O52" i="25"/>
  <c r="O42" i="25"/>
  <c r="O40" i="25"/>
  <c r="O38" i="25"/>
  <c r="O26" i="25"/>
  <c r="O25" i="30"/>
  <c r="O39" i="30"/>
  <c r="O45" i="30"/>
  <c r="O49" i="30"/>
  <c r="O61" i="30"/>
  <c r="O65" i="30"/>
  <c r="O67" i="30"/>
  <c r="O65" i="40"/>
  <c r="O49" i="45"/>
  <c r="O19" i="43"/>
  <c r="O39" i="43"/>
  <c r="O45" i="43"/>
  <c r="O71" i="43"/>
  <c r="O20" i="42"/>
  <c r="O26" i="42"/>
  <c r="O28" i="42"/>
  <c r="O32" i="42"/>
  <c r="O36" i="42"/>
  <c r="O38" i="42"/>
  <c r="O40" i="42"/>
  <c r="O42" i="42"/>
  <c r="O44" i="42"/>
  <c r="O46" i="42"/>
  <c r="O48" i="42"/>
  <c r="O60" i="42"/>
  <c r="O64" i="42"/>
  <c r="O66" i="42"/>
  <c r="O72" i="42"/>
  <c r="O58" i="42"/>
  <c r="O68" i="42"/>
  <c r="O31" i="42"/>
  <c r="O33" i="42"/>
  <c r="O35" i="42"/>
  <c r="O57" i="42"/>
  <c r="O63" i="42"/>
  <c r="O71" i="42"/>
  <c r="O22" i="41"/>
  <c r="O28" i="41"/>
  <c r="O38" i="41"/>
  <c r="O44" i="41"/>
  <c r="O46" i="41"/>
  <c r="O50" i="41"/>
  <c r="O56" i="41"/>
  <c r="O58" i="41"/>
  <c r="O64" i="41"/>
  <c r="O68" i="41"/>
  <c r="O70" i="41"/>
  <c r="O72" i="41"/>
  <c r="O19" i="40"/>
  <c r="O21" i="40"/>
  <c r="O25" i="40"/>
  <c r="O27" i="40"/>
  <c r="O29" i="40"/>
  <c r="O31" i="40"/>
  <c r="O33" i="40"/>
  <c r="O35" i="40"/>
  <c r="O37" i="40"/>
  <c r="O39" i="40"/>
  <c r="O41" i="40"/>
  <c r="O43" i="40"/>
  <c r="O47" i="40"/>
  <c r="O49" i="40"/>
  <c r="O51" i="40"/>
  <c r="O53" i="40"/>
  <c r="O57" i="40"/>
  <c r="O59" i="40"/>
  <c r="O61" i="40"/>
  <c r="O63" i="40"/>
  <c r="O67" i="40"/>
  <c r="O69" i="40"/>
  <c r="O71" i="40"/>
  <c r="O41" i="30"/>
  <c r="O43" i="30"/>
  <c r="O51" i="30"/>
  <c r="O53" i="30"/>
  <c r="O57" i="30"/>
  <c r="O59" i="30"/>
  <c r="O63" i="30"/>
  <c r="O69" i="30"/>
  <c r="L20" i="30"/>
  <c r="O20" i="30" s="1"/>
  <c r="O69" i="24"/>
  <c r="O59" i="24"/>
  <c r="O49" i="24"/>
  <c r="O41" i="24"/>
  <c r="O72" i="24"/>
  <c r="O70" i="24"/>
  <c r="O64" i="24"/>
  <c r="O62" i="24"/>
  <c r="O60" i="24"/>
  <c r="O54" i="24"/>
  <c r="O52" i="24"/>
  <c r="O50" i="24"/>
  <c r="O46" i="24"/>
  <c r="O44" i="24"/>
  <c r="O42" i="24"/>
  <c r="O40" i="24"/>
  <c r="O38" i="24"/>
  <c r="O36" i="24"/>
  <c r="O34" i="24"/>
  <c r="O30" i="24"/>
  <c r="O28" i="24"/>
  <c r="O26" i="24"/>
  <c r="O24" i="23"/>
  <c r="O72" i="22"/>
  <c r="O70" i="22"/>
  <c r="O68" i="22"/>
  <c r="O66" i="22"/>
  <c r="O64" i="22"/>
  <c r="O62" i="22"/>
  <c r="O54" i="22"/>
  <c r="O44" i="22"/>
  <c r="O42" i="22"/>
  <c r="O40" i="22"/>
  <c r="O38" i="22"/>
  <c r="O36" i="22"/>
  <c r="O30" i="22"/>
  <c r="O70" i="11"/>
  <c r="O64" i="11"/>
  <c r="O62" i="11"/>
  <c r="O60" i="11"/>
  <c r="O58" i="11"/>
  <c r="O56" i="11"/>
  <c r="O54" i="11"/>
  <c r="O50" i="11"/>
  <c r="O40" i="11"/>
  <c r="O38" i="11"/>
  <c r="O36" i="11"/>
  <c r="O30" i="11"/>
  <c r="O71" i="10"/>
  <c r="O69" i="10"/>
  <c r="O47" i="10"/>
  <c r="O45" i="10"/>
  <c r="O37" i="10"/>
  <c r="O31" i="10"/>
  <c r="O71" i="8"/>
  <c r="O63" i="8"/>
  <c r="O57" i="8"/>
  <c r="O53" i="8"/>
  <c r="O51" i="8"/>
  <c r="O49" i="8"/>
  <c r="O44" i="8"/>
  <c r="O40" i="8"/>
  <c r="O64" i="8"/>
  <c r="O43" i="8"/>
  <c r="O29" i="7"/>
  <c r="O40" i="7"/>
  <c r="O70" i="6"/>
  <c r="O26" i="4"/>
  <c r="O72" i="3"/>
  <c r="O58" i="3"/>
  <c r="O48" i="3"/>
  <c r="O36" i="3"/>
  <c r="O69" i="6"/>
  <c r="O55" i="9"/>
  <c r="O64" i="4"/>
  <c r="O62" i="4"/>
  <c r="O60" i="4"/>
  <c r="O58" i="4"/>
  <c r="O56" i="4"/>
  <c r="O54" i="4"/>
  <c r="O52" i="4"/>
  <c r="O50" i="4"/>
  <c r="O48" i="4"/>
  <c r="O46" i="4"/>
  <c r="O42" i="4"/>
  <c r="O40" i="4"/>
  <c r="O38" i="4"/>
  <c r="O36" i="4"/>
  <c r="O34" i="4"/>
  <c r="O30" i="4"/>
  <c r="O67" i="10"/>
  <c r="O65" i="10"/>
  <c r="O63" i="10"/>
  <c r="O61" i="10"/>
  <c r="O53" i="10"/>
  <c r="O49" i="10"/>
  <c r="O61" i="11"/>
  <c r="O51" i="11"/>
  <c r="O49" i="11"/>
  <c r="O41" i="11"/>
  <c r="O39" i="11"/>
  <c r="O33" i="11"/>
  <c r="O70" i="13"/>
  <c r="O68" i="13"/>
  <c r="O66" i="13"/>
  <c r="O64" i="13"/>
  <c r="O60" i="13"/>
  <c r="O58" i="13"/>
  <c r="O56" i="13"/>
  <c r="O52" i="13"/>
  <c r="O48" i="13"/>
  <c r="O42" i="13"/>
  <c r="O36" i="13"/>
  <c r="O34" i="13"/>
  <c r="O28" i="13"/>
  <c r="O26" i="13"/>
  <c r="O22" i="13"/>
  <c r="O20" i="13"/>
  <c r="O19" i="42"/>
  <c r="O71" i="3"/>
  <c r="O69" i="3"/>
  <c r="O67" i="3"/>
  <c r="O61" i="3"/>
  <c r="O57" i="3"/>
  <c r="O55" i="3"/>
  <c r="O53" i="3"/>
  <c r="O51" i="3"/>
  <c r="O47" i="3"/>
  <c r="O43" i="3"/>
  <c r="O41" i="3"/>
  <c r="O39" i="3"/>
  <c r="O37" i="3"/>
  <c r="O33" i="28"/>
  <c r="O63" i="28"/>
  <c r="O24" i="29"/>
  <c r="O42" i="29"/>
  <c r="O46" i="29"/>
  <c r="O48" i="29"/>
  <c r="O54" i="29"/>
  <c r="O58" i="29"/>
  <c r="O60" i="29"/>
  <c r="O62" i="29"/>
  <c r="O66" i="29"/>
  <c r="O70" i="29"/>
  <c r="O21" i="30"/>
  <c r="O29" i="30"/>
  <c r="O31" i="30"/>
  <c r="O33" i="30"/>
  <c r="O35" i="30"/>
  <c r="O37" i="30"/>
  <c r="O47" i="45"/>
  <c r="O68" i="6"/>
  <c r="O66" i="6"/>
  <c r="O36" i="28"/>
  <c r="O40" i="28"/>
  <c r="O24" i="30"/>
  <c r="O32" i="30"/>
  <c r="O40" i="30"/>
  <c r="O42" i="30"/>
  <c r="O50" i="30"/>
  <c r="O54" i="30"/>
  <c r="O56" i="30"/>
  <c r="O60" i="30"/>
  <c r="O62" i="30"/>
  <c r="O64" i="30"/>
  <c r="O66" i="30"/>
  <c r="O70" i="30"/>
  <c r="O22" i="31"/>
  <c r="O24" i="31"/>
  <c r="O26" i="31"/>
  <c r="O30" i="31"/>
  <c r="O42" i="31"/>
  <c r="O44" i="31"/>
  <c r="O48" i="31"/>
  <c r="O50" i="31"/>
  <c r="O54" i="31"/>
  <c r="O64" i="31"/>
  <c r="O66" i="31"/>
  <c r="O68" i="31"/>
  <c r="O21" i="43"/>
  <c r="O29" i="43"/>
  <c r="O31" i="43"/>
  <c r="O37" i="43"/>
  <c r="O47" i="43"/>
  <c r="O53" i="43"/>
  <c r="O55" i="43"/>
  <c r="O61" i="43"/>
  <c r="O63" i="43"/>
  <c r="O69" i="43"/>
  <c r="O20" i="44"/>
  <c r="O43" i="6"/>
  <c r="C10" i="1"/>
  <c r="C28" i="1"/>
  <c r="C61" i="1"/>
  <c r="C79" i="1"/>
  <c r="C73" i="1"/>
  <c r="C55" i="1"/>
  <c r="C8" i="1"/>
  <c r="C62" i="1"/>
  <c r="F14" i="1"/>
  <c r="E19" i="1" s="1"/>
  <c r="F19" i="1" s="1"/>
  <c r="C82" i="1"/>
  <c r="C76" i="1"/>
  <c r="C39" i="1"/>
  <c r="C50" i="1"/>
  <c r="C22" i="1"/>
  <c r="C56" i="1"/>
  <c r="C14" i="1"/>
  <c r="O24" i="28"/>
  <c r="O26" i="28"/>
  <c r="O30" i="28"/>
  <c r="O34" i="28"/>
  <c r="O38" i="28"/>
  <c r="O42" i="28"/>
  <c r="O52" i="28"/>
  <c r="O54" i="28"/>
  <c r="O58" i="28"/>
  <c r="O60" i="28"/>
  <c r="O62" i="28"/>
  <c r="O64" i="28"/>
  <c r="O66" i="28"/>
  <c r="O68" i="28"/>
  <c r="O70" i="28"/>
  <c r="O23" i="29"/>
  <c r="O33" i="29"/>
  <c r="O35" i="29"/>
  <c r="O37" i="29"/>
  <c r="O39" i="29"/>
  <c r="O41" i="29"/>
  <c r="O43" i="29"/>
  <c r="O45" i="29"/>
  <c r="O47" i="29"/>
  <c r="O49" i="29"/>
  <c r="O53" i="29"/>
  <c r="O57" i="29"/>
  <c r="O59" i="29"/>
  <c r="O61" i="29"/>
  <c r="O63" i="29"/>
  <c r="O65" i="29"/>
  <c r="O30" i="30"/>
  <c r="O68" i="30"/>
  <c r="O32" i="31"/>
  <c r="O36" i="31"/>
  <c r="O56" i="31"/>
  <c r="O60" i="31"/>
  <c r="O62" i="31"/>
  <c r="O70" i="31"/>
  <c r="O28" i="38"/>
  <c r="O32" i="38"/>
  <c r="O34" i="38"/>
  <c r="O40" i="38"/>
  <c r="O52" i="39"/>
  <c r="O68" i="39"/>
  <c r="O70" i="39"/>
  <c r="O41" i="43"/>
  <c r="O49" i="43"/>
  <c r="O51" i="43"/>
  <c r="O34" i="44"/>
  <c r="O62" i="44"/>
  <c r="O68" i="44"/>
  <c r="O72" i="44"/>
  <c r="O28" i="45"/>
  <c r="O44" i="45"/>
  <c r="O58" i="45"/>
  <c r="O60" i="45"/>
  <c r="O72" i="45"/>
  <c r="P153" i="4"/>
  <c r="P131" i="4"/>
  <c r="P121" i="4"/>
  <c r="P119" i="4"/>
  <c r="P117" i="4"/>
  <c r="P111" i="4"/>
  <c r="P114" i="5"/>
  <c r="O31" i="5"/>
  <c r="O72" i="6"/>
  <c r="O18" i="13"/>
  <c r="F17" i="13"/>
  <c r="O63" i="27"/>
  <c r="O65" i="4"/>
  <c r="O63" i="4"/>
  <c r="O61" i="4"/>
  <c r="O59" i="4"/>
  <c r="O57" i="4"/>
  <c r="O53" i="4"/>
  <c r="O51" i="4"/>
  <c r="O64" i="6"/>
  <c r="O56" i="6"/>
  <c r="O54" i="6"/>
  <c r="O52" i="6"/>
  <c r="O50" i="6"/>
  <c r="O48" i="6"/>
  <c r="O46" i="6"/>
  <c r="O68" i="7"/>
  <c r="O54" i="7"/>
  <c r="O52" i="7"/>
  <c r="O50" i="7"/>
  <c r="O46" i="7"/>
  <c r="O44" i="7"/>
  <c r="O42" i="7"/>
  <c r="O38" i="7"/>
  <c r="O36" i="7"/>
  <c r="O69" i="8"/>
  <c r="O65" i="8"/>
  <c r="O61" i="8"/>
  <c r="O59" i="8"/>
  <c r="O55" i="8"/>
  <c r="O38" i="8"/>
  <c r="O36" i="8"/>
  <c r="O34" i="8"/>
  <c r="O32" i="8"/>
  <c r="O30" i="8"/>
  <c r="O70" i="9"/>
  <c r="O66" i="9"/>
  <c r="O64" i="9"/>
  <c r="O60" i="9"/>
  <c r="O52" i="9"/>
  <c r="O46" i="9"/>
  <c r="O44" i="9"/>
  <c r="O40" i="9"/>
  <c r="O36" i="9"/>
  <c r="O32" i="9"/>
  <c r="O49" i="31"/>
  <c r="O53" i="31"/>
  <c r="O57" i="31"/>
  <c r="O61" i="31"/>
  <c r="O63" i="31"/>
  <c r="O65" i="31"/>
  <c r="O23" i="38"/>
  <c r="O23" i="39"/>
  <c r="O33" i="39"/>
  <c r="O37" i="39"/>
  <c r="O39" i="39"/>
  <c r="O43" i="39"/>
  <c r="O53" i="39"/>
  <c r="O57" i="39"/>
  <c r="O59" i="39"/>
  <c r="O61" i="39"/>
  <c r="O63" i="39"/>
  <c r="O69" i="39"/>
  <c r="O71" i="39"/>
  <c r="P121" i="41"/>
  <c r="P125" i="42"/>
  <c r="O53" i="44"/>
  <c r="O25" i="45"/>
  <c r="O55" i="46"/>
  <c r="O59" i="46"/>
  <c r="O26" i="41"/>
  <c r="O30" i="41"/>
  <c r="O40" i="41"/>
  <c r="O48" i="41"/>
  <c r="O50" i="42"/>
  <c r="O56" i="24"/>
  <c r="O61" i="25"/>
  <c r="O35" i="45"/>
  <c r="O37" i="45"/>
  <c r="O28" i="4"/>
  <c r="O22" i="40"/>
  <c r="O44" i="44"/>
  <c r="O35" i="3"/>
  <c r="O29" i="3"/>
  <c r="O52" i="3"/>
  <c r="O33" i="10"/>
  <c r="O51" i="22"/>
  <c r="O46" i="38"/>
  <c r="O50" i="38"/>
  <c r="O62" i="38"/>
  <c r="O68" i="38"/>
  <c r="O70" i="38"/>
  <c r="O25" i="42"/>
  <c r="O39" i="42"/>
  <c r="O65" i="42"/>
  <c r="O67" i="42"/>
  <c r="O18" i="46"/>
  <c r="O39" i="4"/>
  <c r="O72" i="37"/>
  <c r="O62" i="43"/>
  <c r="O37" i="44"/>
  <c r="O61" i="44"/>
  <c r="O19" i="45"/>
  <c r="O62" i="45"/>
  <c r="O38" i="46"/>
  <c r="O56" i="46"/>
  <c r="O63" i="3"/>
  <c r="O70" i="4"/>
  <c r="O66" i="4"/>
  <c r="O50" i="10"/>
  <c r="O55" i="13"/>
  <c r="O53" i="13"/>
  <c r="O51" i="13"/>
  <c r="O49" i="13"/>
  <c r="O47" i="13"/>
  <c r="O33" i="13"/>
  <c r="O31" i="13"/>
  <c r="O39" i="24"/>
  <c r="O45" i="38"/>
  <c r="O53" i="38"/>
  <c r="O68" i="46"/>
  <c r="O49" i="39"/>
  <c r="O43" i="43"/>
  <c r="O48" i="44"/>
  <c r="O54" i="44"/>
  <c r="O29" i="46"/>
  <c r="O72" i="46"/>
  <c r="D93" i="10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O67" i="4"/>
  <c r="O72" i="7"/>
  <c r="O70" i="7"/>
  <c r="O41" i="8"/>
  <c r="O37" i="8"/>
  <c r="O53" i="22"/>
  <c r="O38" i="31"/>
  <c r="O27" i="38"/>
  <c r="O52" i="38"/>
  <c r="O53" i="46"/>
  <c r="J96" i="13"/>
  <c r="F48" i="1"/>
  <c r="F52" i="1" s="1"/>
  <c r="O30" i="3"/>
  <c r="O36" i="5"/>
  <c r="O34" i="7"/>
  <c r="O59" i="11"/>
  <c r="O35" i="22"/>
  <c r="O53" i="23"/>
  <c r="O51" i="23"/>
  <c r="O45" i="23"/>
  <c r="O29" i="23"/>
  <c r="O51" i="24"/>
  <c r="O48" i="24"/>
  <c r="O32" i="24"/>
  <c r="O69" i="25"/>
  <c r="O37" i="28"/>
  <c r="O41" i="28"/>
  <c r="O55" i="28"/>
  <c r="O29" i="29"/>
  <c r="O31" i="29"/>
  <c r="O43" i="38"/>
  <c r="O22" i="39"/>
  <c r="O28" i="39"/>
  <c r="O30" i="39"/>
  <c r="O36" i="39"/>
  <c r="O54" i="42"/>
  <c r="O36" i="44"/>
  <c r="O56" i="44"/>
  <c r="O58" i="44"/>
  <c r="O27" i="45"/>
  <c r="O29" i="45"/>
  <c r="O36" i="45"/>
  <c r="O52" i="45"/>
  <c r="O63" i="45"/>
  <c r="O19" i="46"/>
  <c r="O42" i="46"/>
  <c r="O44" i="46"/>
  <c r="O52" i="46"/>
  <c r="O60" i="46"/>
  <c r="O64" i="46"/>
  <c r="O70" i="46"/>
  <c r="O56" i="3"/>
  <c r="O31" i="3"/>
  <c r="O72" i="4"/>
  <c r="O68" i="4"/>
  <c r="O47" i="4"/>
  <c r="O43" i="4"/>
  <c r="O41" i="4"/>
  <c r="O37" i="4"/>
  <c r="O41" i="5"/>
  <c r="O39" i="5"/>
  <c r="O71" i="7"/>
  <c r="O68" i="10"/>
  <c r="O40" i="13"/>
  <c r="O38" i="13"/>
  <c r="O60" i="22"/>
  <c r="O58" i="22"/>
  <c r="O56" i="22"/>
  <c r="O52" i="22"/>
  <c r="O50" i="22"/>
  <c r="O48" i="22"/>
  <c r="O46" i="22"/>
  <c r="O34" i="22"/>
  <c r="O47" i="38"/>
  <c r="O19" i="41"/>
  <c r="O34" i="41"/>
  <c r="O36" i="41"/>
  <c r="O52" i="41"/>
  <c r="O17" i="43"/>
  <c r="O25" i="43"/>
  <c r="O27" i="43"/>
  <c r="O35" i="43"/>
  <c r="O19" i="44"/>
  <c r="O21" i="44"/>
  <c r="O66" i="46"/>
  <c r="O63" i="6"/>
  <c r="O42" i="8"/>
  <c r="O48" i="11"/>
  <c r="O44" i="11"/>
  <c r="O43" i="13"/>
  <c r="O29" i="13"/>
  <c r="O31" i="24"/>
  <c r="O70" i="25"/>
  <c r="O66" i="25"/>
  <c r="O41" i="27"/>
  <c r="O32" i="28"/>
  <c r="O44" i="28"/>
  <c r="O46" i="28"/>
  <c r="O48" i="28"/>
  <c r="O25" i="29"/>
  <c r="O22" i="30"/>
  <c r="O28" i="30"/>
  <c r="O21" i="39"/>
  <c r="O42" i="39"/>
  <c r="O46" i="39"/>
  <c r="O50" i="39"/>
  <c r="O62" i="39"/>
  <c r="O18" i="41"/>
  <c r="O20" i="41"/>
  <c r="O37" i="41"/>
  <c r="O51" i="41"/>
  <c r="O53" i="41"/>
  <c r="O34" i="42"/>
  <c r="O34" i="43"/>
  <c r="O30" i="44"/>
  <c r="O20" i="45"/>
  <c r="O39" i="45"/>
  <c r="O43" i="45"/>
  <c r="O45" i="45"/>
  <c r="O57" i="45"/>
  <c r="O64" i="45"/>
  <c r="O66" i="45"/>
  <c r="O68" i="45"/>
  <c r="O70" i="45"/>
  <c r="O24" i="46"/>
  <c r="O45" i="46"/>
  <c r="O47" i="46"/>
  <c r="O61" i="46"/>
  <c r="O67" i="46"/>
  <c r="O35" i="8"/>
  <c r="O54" i="3"/>
  <c r="O47" i="5"/>
  <c r="D94" i="37"/>
  <c r="B100" i="37"/>
  <c r="O70" i="3"/>
  <c r="O44" i="3"/>
  <c r="O40" i="3"/>
  <c r="O45" i="4"/>
  <c r="O35" i="4"/>
  <c r="O46" i="5"/>
  <c r="O35" i="5"/>
  <c r="O62" i="6"/>
  <c r="O60" i="6"/>
  <c r="O58" i="6"/>
  <c r="O66" i="7"/>
  <c r="O62" i="7"/>
  <c r="O60" i="7"/>
  <c r="O58" i="7"/>
  <c r="O56" i="7"/>
  <c r="O43" i="7"/>
  <c r="O67" i="8"/>
  <c r="O47" i="8"/>
  <c r="O72" i="9"/>
  <c r="O50" i="9"/>
  <c r="O48" i="9"/>
  <c r="O57" i="10"/>
  <c r="O51" i="10"/>
  <c r="O41" i="10"/>
  <c r="O71" i="11"/>
  <c r="O65" i="11"/>
  <c r="O52" i="11"/>
  <c r="O47" i="11"/>
  <c r="O45" i="11"/>
  <c r="O43" i="11"/>
  <c r="O32" i="11"/>
  <c r="O44" i="13"/>
  <c r="O39" i="13"/>
  <c r="O37" i="13"/>
  <c r="O32" i="13"/>
  <c r="O30" i="13"/>
  <c r="O27" i="13"/>
  <c r="O67" i="23"/>
  <c r="O56" i="23"/>
  <c r="O28" i="23"/>
  <c r="O59" i="25"/>
  <c r="O35" i="27"/>
  <c r="O50" i="27"/>
  <c r="O71" i="27"/>
  <c r="O30" i="29"/>
  <c r="O32" i="29"/>
  <c r="O34" i="31"/>
  <c r="O40" i="31"/>
  <c r="O35" i="37"/>
  <c r="O64" i="37"/>
  <c r="O51" i="38"/>
  <c r="O27" i="39"/>
  <c r="O70" i="42"/>
  <c r="O46" i="43"/>
  <c r="O43" i="10"/>
  <c r="O61" i="22"/>
  <c r="O49" i="22"/>
  <c r="O28" i="22"/>
  <c r="O48" i="23"/>
  <c r="O41" i="25"/>
  <c r="O35" i="25"/>
  <c r="O27" i="25"/>
  <c r="O43" i="28"/>
  <c r="O51" i="28"/>
  <c r="O22" i="29"/>
  <c r="O59" i="37"/>
  <c r="O65" i="3"/>
  <c r="O28" i="3"/>
  <c r="O69" i="4"/>
  <c r="O31" i="4"/>
  <c r="O29" i="4"/>
  <c r="O45" i="5"/>
  <c r="O43" i="5"/>
  <c r="O34" i="5"/>
  <c r="O61" i="6"/>
  <c r="O59" i="6"/>
  <c r="O41" i="6"/>
  <c r="O37" i="6"/>
  <c r="O29" i="6"/>
  <c r="O63" i="7"/>
  <c r="O61" i="7"/>
  <c r="O46" i="8"/>
  <c r="O45" i="8"/>
  <c r="O31" i="8"/>
  <c r="O29" i="8"/>
  <c r="O71" i="9"/>
  <c r="O69" i="9"/>
  <c r="O54" i="9"/>
  <c r="O54" i="10"/>
  <c r="O44" i="10"/>
  <c r="O42" i="10"/>
  <c r="O34" i="10"/>
  <c r="O68" i="11"/>
  <c r="O55" i="11"/>
  <c r="O42" i="11"/>
  <c r="O31" i="11"/>
  <c r="O72" i="13"/>
  <c r="O24" i="13"/>
  <c r="O33" i="22"/>
  <c r="O66" i="24"/>
  <c r="O57" i="24"/>
  <c r="O22" i="28"/>
  <c r="O50" i="28"/>
  <c r="O56" i="28"/>
  <c r="O55" i="30"/>
  <c r="O33" i="38"/>
  <c r="O55" i="44"/>
  <c r="O47" i="39"/>
  <c r="O54" i="39"/>
  <c r="O20" i="40"/>
  <c r="O55" i="40"/>
  <c r="O49" i="41"/>
  <c r="O30" i="42"/>
  <c r="O41" i="42"/>
  <c r="O47" i="42"/>
  <c r="O57" i="43"/>
  <c r="O59" i="43"/>
  <c r="O65" i="43"/>
  <c r="O67" i="43"/>
  <c r="O27" i="44"/>
  <c r="O31" i="44"/>
  <c r="O38" i="44"/>
  <c r="O40" i="44"/>
  <c r="O42" i="44"/>
  <c r="O46" i="44"/>
  <c r="O66" i="44"/>
  <c r="O17" i="45"/>
  <c r="O30" i="45"/>
  <c r="O38" i="45"/>
  <c r="O46" i="45"/>
  <c r="O53" i="45"/>
  <c r="O36" i="46"/>
  <c r="O50" i="46"/>
  <c r="O38" i="29"/>
  <c r="O44" i="29"/>
  <c r="O55" i="29"/>
  <c r="O68" i="29"/>
  <c r="O72" i="29"/>
  <c r="O34" i="30"/>
  <c r="O36" i="30"/>
  <c r="O38" i="30"/>
  <c r="O44" i="30"/>
  <c r="O46" i="30"/>
  <c r="O48" i="30"/>
  <c r="O71" i="30"/>
  <c r="O29" i="31"/>
  <c r="O46" i="31"/>
  <c r="O58" i="31"/>
  <c r="O29" i="37"/>
  <c r="O31" i="37"/>
  <c r="O44" i="37"/>
  <c r="O46" i="37"/>
  <c r="O48" i="37"/>
  <c r="O61" i="37"/>
  <c r="O41" i="38"/>
  <c r="O48" i="38"/>
  <c r="O55" i="38"/>
  <c r="O64" i="38"/>
  <c r="O66" i="38"/>
  <c r="O29" i="39"/>
  <c r="O66" i="39"/>
  <c r="O60" i="41"/>
  <c r="O69" i="42"/>
  <c r="O30" i="43"/>
  <c r="O50" i="43"/>
  <c r="O35" i="44"/>
  <c r="O59" i="44"/>
  <c r="O70" i="44"/>
  <c r="O24" i="45"/>
  <c r="O32" i="45"/>
  <c r="O40" i="45"/>
  <c r="O48" i="45"/>
  <c r="O50" i="45"/>
  <c r="O69" i="45"/>
  <c r="O27" i="46"/>
  <c r="O40" i="46"/>
  <c r="O72" i="30"/>
  <c r="O36" i="38"/>
  <c r="O42" i="38"/>
  <c r="O49" i="38"/>
  <c r="O56" i="38"/>
  <c r="O65" i="39"/>
  <c r="O48" i="40"/>
  <c r="O32" i="41"/>
  <c r="O39" i="41"/>
  <c r="O41" i="41"/>
  <c r="O43" i="41"/>
  <c r="O27" i="42"/>
  <c r="O52" i="42"/>
  <c r="O56" i="42"/>
  <c r="O62" i="42"/>
  <c r="O42" i="43"/>
  <c r="O58" i="43"/>
  <c r="O66" i="43"/>
  <c r="O17" i="44"/>
  <c r="O24" i="44"/>
  <c r="O26" i="44"/>
  <c r="O32" i="44"/>
  <c r="O39" i="44"/>
  <c r="O43" i="44"/>
  <c r="O45" i="44"/>
  <c r="O47" i="44"/>
  <c r="O51" i="44"/>
  <c r="O63" i="44"/>
  <c r="O71" i="44"/>
  <c r="O18" i="45"/>
  <c r="O26" i="45"/>
  <c r="O34" i="45"/>
  <c r="O42" i="45"/>
  <c r="O54" i="45"/>
  <c r="O56" i="45"/>
  <c r="O48" i="46"/>
  <c r="O63" i="46"/>
  <c r="C105" i="37"/>
  <c r="C106" i="37" s="1"/>
  <c r="C107" i="37" s="1"/>
  <c r="C108" i="37" s="1"/>
  <c r="C109" i="37" s="1"/>
  <c r="C110" i="37" s="1"/>
  <c r="C111" i="37" s="1"/>
  <c r="C112" i="37" s="1"/>
  <c r="C113" i="37" s="1"/>
  <c r="C114" i="37" s="1"/>
  <c r="C115" i="37" s="1"/>
  <c r="C116" i="37" s="1"/>
  <c r="C117" i="37" s="1"/>
  <c r="C118" i="37" s="1"/>
  <c r="C119" i="37" s="1"/>
  <c r="C120" i="37" s="1"/>
  <c r="C121" i="37" s="1"/>
  <c r="C122" i="37" s="1"/>
  <c r="C123" i="37" s="1"/>
  <c r="C124" i="37" s="1"/>
  <c r="C125" i="37" s="1"/>
  <c r="C126" i="37" s="1"/>
  <c r="C127" i="37" s="1"/>
  <c r="C128" i="37" s="1"/>
  <c r="C129" i="37" s="1"/>
  <c r="C130" i="37" s="1"/>
  <c r="C131" i="37" s="1"/>
  <c r="C132" i="37" s="1"/>
  <c r="C133" i="37" s="1"/>
  <c r="C134" i="37" s="1"/>
  <c r="C135" i="37" s="1"/>
  <c r="C136" i="37" s="1"/>
  <c r="C137" i="37" s="1"/>
  <c r="C138" i="37" s="1"/>
  <c r="C139" i="37" s="1"/>
  <c r="C140" i="37" s="1"/>
  <c r="C141" i="37" s="1"/>
  <c r="C142" i="37" s="1"/>
  <c r="C143" i="37" s="1"/>
  <c r="C144" i="37" s="1"/>
  <c r="C145" i="37" s="1"/>
  <c r="C146" i="37" s="1"/>
  <c r="C147" i="37" s="1"/>
  <c r="C148" i="37" s="1"/>
  <c r="C149" i="37" s="1"/>
  <c r="C150" i="37" s="1"/>
  <c r="C151" i="37" s="1"/>
  <c r="C152" i="37" s="1"/>
  <c r="C153" i="37" s="1"/>
  <c r="C154" i="37" s="1"/>
  <c r="C99" i="38"/>
  <c r="D94" i="39"/>
  <c r="C100" i="30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4" i="30"/>
  <c r="D93" i="22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C99" i="5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99" i="23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P130" i="31"/>
  <c r="P120" i="11"/>
  <c r="P104" i="28"/>
  <c r="P116" i="28"/>
  <c r="P126" i="28"/>
  <c r="P126" i="31"/>
  <c r="P102" i="39"/>
  <c r="P114" i="39"/>
  <c r="P120" i="39"/>
  <c r="P124" i="39"/>
  <c r="P126" i="39"/>
  <c r="P128" i="39"/>
  <c r="P130" i="39"/>
  <c r="P100" i="40"/>
  <c r="P102" i="40"/>
  <c r="P106" i="40"/>
  <c r="P128" i="40"/>
  <c r="P110" i="41"/>
  <c r="P112" i="41"/>
  <c r="P114" i="41"/>
  <c r="P116" i="41"/>
  <c r="P118" i="41"/>
  <c r="P100" i="42"/>
  <c r="P102" i="42"/>
  <c r="P114" i="42"/>
  <c r="P126" i="42"/>
  <c r="P128" i="42"/>
  <c r="P130" i="42"/>
  <c r="P110" i="43"/>
  <c r="P109" i="44"/>
  <c r="P125" i="44"/>
  <c r="P137" i="3"/>
  <c r="P111" i="3"/>
  <c r="P109" i="3"/>
  <c r="P139" i="4"/>
  <c r="P135" i="4"/>
  <c r="P133" i="4"/>
  <c r="P127" i="4"/>
  <c r="P125" i="4"/>
  <c r="P123" i="4"/>
  <c r="P115" i="4"/>
  <c r="P133" i="7"/>
  <c r="P138" i="8"/>
  <c r="P136" i="8"/>
  <c r="P134" i="8"/>
  <c r="P132" i="8"/>
  <c r="P130" i="8"/>
  <c r="P128" i="8"/>
  <c r="P124" i="8"/>
  <c r="P122" i="8"/>
  <c r="P120" i="8"/>
  <c r="P118" i="8"/>
  <c r="P116" i="8"/>
  <c r="P112" i="8"/>
  <c r="P110" i="8"/>
  <c r="P152" i="10"/>
  <c r="P125" i="13"/>
  <c r="P126" i="22"/>
  <c r="P151" i="4"/>
  <c r="P149" i="4"/>
  <c r="P141" i="4"/>
  <c r="P109" i="4"/>
  <c r="P126" i="8"/>
  <c r="P134" i="3"/>
  <c r="P130" i="3"/>
  <c r="P132" i="7"/>
  <c r="P118" i="28"/>
  <c r="P118" i="39"/>
  <c r="P122" i="39"/>
  <c r="P120" i="40"/>
  <c r="P119" i="22"/>
  <c r="P118" i="9"/>
  <c r="P130" i="11"/>
  <c r="P124" i="46"/>
  <c r="P117" i="5"/>
  <c r="P126" i="24"/>
  <c r="P122" i="24"/>
  <c r="P114" i="24"/>
  <c r="P112" i="24"/>
  <c r="P108" i="24"/>
  <c r="P129" i="22"/>
  <c r="P125" i="22"/>
  <c r="P117" i="22"/>
  <c r="P115" i="22"/>
  <c r="P117" i="25"/>
  <c r="P112" i="27"/>
  <c r="P122" i="27"/>
  <c r="P111" i="29"/>
  <c r="P117" i="29"/>
  <c r="P129" i="29"/>
  <c r="P118" i="30"/>
  <c r="P126" i="30"/>
  <c r="P106" i="38"/>
  <c r="P108" i="38"/>
  <c r="P112" i="38"/>
  <c r="P114" i="38"/>
  <c r="P116" i="38"/>
  <c r="P118" i="38"/>
  <c r="P122" i="38"/>
  <c r="P124" i="38"/>
  <c r="P128" i="5"/>
  <c r="P126" i="5"/>
  <c r="P120" i="5"/>
  <c r="P118" i="5"/>
  <c r="P116" i="5"/>
  <c r="P128" i="11"/>
  <c r="P126" i="11"/>
  <c r="P124" i="11"/>
  <c r="P122" i="11"/>
  <c r="P118" i="11"/>
  <c r="P112" i="11"/>
  <c r="P125" i="24"/>
  <c r="P119" i="24"/>
  <c r="P117" i="24"/>
  <c r="P115" i="24"/>
  <c r="P113" i="24"/>
  <c r="P101" i="37"/>
  <c r="P109" i="37"/>
  <c r="P154" i="3"/>
  <c r="P150" i="3"/>
  <c r="P146" i="3"/>
  <c r="P144" i="3"/>
  <c r="P142" i="3"/>
  <c r="P140" i="3"/>
  <c r="P136" i="3"/>
  <c r="P132" i="3"/>
  <c r="P128" i="3"/>
  <c r="P126" i="3"/>
  <c r="P124" i="3"/>
  <c r="P120" i="3"/>
  <c r="P150" i="7"/>
  <c r="P138" i="7"/>
  <c r="P128" i="7"/>
  <c r="P126" i="7"/>
  <c r="P122" i="7"/>
  <c r="P114" i="7"/>
  <c r="P137" i="8"/>
  <c r="P137" i="10"/>
  <c r="P126" i="13"/>
  <c r="P117" i="23"/>
  <c r="P129" i="25"/>
  <c r="P123" i="25"/>
  <c r="P115" i="25"/>
  <c r="P117" i="28"/>
  <c r="P122" i="37"/>
  <c r="P128" i="37"/>
  <c r="P115" i="39"/>
  <c r="P101" i="40"/>
  <c r="P109" i="40"/>
  <c r="P113" i="40"/>
  <c r="P127" i="40"/>
  <c r="P129" i="40"/>
  <c r="P110" i="29"/>
  <c r="P109" i="38"/>
  <c r="P111" i="38"/>
  <c r="P113" i="38"/>
  <c r="P117" i="38"/>
  <c r="P119" i="38"/>
  <c r="P123" i="38"/>
  <c r="P109" i="42"/>
  <c r="P114" i="28"/>
  <c r="P124" i="28"/>
  <c r="P128" i="28"/>
  <c r="P104" i="31"/>
  <c r="P116" i="31"/>
  <c r="P120" i="31"/>
  <c r="P124" i="31"/>
  <c r="P128" i="31"/>
  <c r="P103" i="37"/>
  <c r="P107" i="37"/>
  <c r="P111" i="37"/>
  <c r="P113" i="37"/>
  <c r="P115" i="37"/>
  <c r="P119" i="37"/>
  <c r="P125" i="37"/>
  <c r="P129" i="37"/>
  <c r="P126" i="45"/>
  <c r="P101" i="46"/>
  <c r="P129" i="46"/>
  <c r="J92" i="46"/>
  <c r="P105" i="28"/>
  <c r="P111" i="28"/>
  <c r="P111" i="40"/>
  <c r="P121" i="40"/>
  <c r="P102" i="37"/>
  <c r="P125" i="9"/>
  <c r="P115" i="31"/>
  <c r="P110" i="37"/>
  <c r="P114" i="37"/>
  <c r="P118" i="37"/>
  <c r="P126" i="37"/>
  <c r="P149" i="7"/>
  <c r="P145" i="7"/>
  <c r="P141" i="7"/>
  <c r="P137" i="7"/>
  <c r="P117" i="7"/>
  <c r="P105" i="27"/>
  <c r="P111" i="27"/>
  <c r="P113" i="27"/>
  <c r="P115" i="27"/>
  <c r="P119" i="27"/>
  <c r="P121" i="27"/>
  <c r="P125" i="27"/>
  <c r="P127" i="27"/>
  <c r="P129" i="27"/>
  <c r="P106" i="29"/>
  <c r="P116" i="29"/>
  <c r="P118" i="29"/>
  <c r="P120" i="29"/>
  <c r="P118" i="31"/>
  <c r="P122" i="44"/>
  <c r="P108" i="37"/>
  <c r="P120" i="37"/>
  <c r="P124" i="37"/>
  <c r="P130" i="37"/>
  <c r="P148" i="3"/>
  <c r="P138" i="3"/>
  <c r="P122" i="3"/>
  <c r="P110" i="3"/>
  <c r="P144" i="4"/>
  <c r="P140" i="4"/>
  <c r="P136" i="4"/>
  <c r="P124" i="4"/>
  <c r="P129" i="10"/>
  <c r="P127" i="10"/>
  <c r="P125" i="10"/>
  <c r="P123" i="10"/>
  <c r="P121" i="10"/>
  <c r="P119" i="10"/>
  <c r="P130" i="13"/>
  <c r="P128" i="13"/>
  <c r="P120" i="13"/>
  <c r="P116" i="13"/>
  <c r="P114" i="13"/>
  <c r="P112" i="13"/>
  <c r="P110" i="13"/>
  <c r="P108" i="13"/>
  <c r="P106" i="13"/>
  <c r="P104" i="13"/>
  <c r="P102" i="13"/>
  <c r="P100" i="13"/>
  <c r="P118" i="27"/>
  <c r="P124" i="27"/>
  <c r="P112" i="30"/>
  <c r="P116" i="30"/>
  <c r="P120" i="30"/>
  <c r="P124" i="30"/>
  <c r="P128" i="30"/>
  <c r="P100" i="41"/>
  <c r="P106" i="41"/>
  <c r="P122" i="41"/>
  <c r="P107" i="44"/>
  <c r="P111" i="44"/>
  <c r="C99" i="1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45" i="5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45" i="37"/>
  <c r="C46" i="37" s="1"/>
  <c r="C47" i="37" s="1"/>
  <c r="C48" i="37" s="1"/>
  <c r="C49" i="37" s="1"/>
  <c r="C50" i="37" s="1"/>
  <c r="C51" i="37" s="1"/>
  <c r="C52" i="37" s="1"/>
  <c r="C53" i="37" s="1"/>
  <c r="C54" i="37" s="1"/>
  <c r="C55" i="37" s="1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C66" i="37" s="1"/>
  <c r="C67" i="37" s="1"/>
  <c r="C68" i="37" s="1"/>
  <c r="C69" i="37" s="1"/>
  <c r="C70" i="37" s="1"/>
  <c r="C71" i="37" s="1"/>
  <c r="C72" i="37" s="1"/>
  <c r="C45" i="1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45" i="7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45" i="40"/>
  <c r="C46" i="40" s="1"/>
  <c r="C47" i="40" s="1"/>
  <c r="C48" i="40" s="1"/>
  <c r="C49" i="40" s="1"/>
  <c r="C50" i="40" s="1"/>
  <c r="C51" i="40" s="1"/>
  <c r="C52" i="40" s="1"/>
  <c r="C53" i="40" s="1"/>
  <c r="C54" i="40" s="1"/>
  <c r="C55" i="40" s="1"/>
  <c r="C56" i="40" s="1"/>
  <c r="C57" i="40" s="1"/>
  <c r="C58" i="40" s="1"/>
  <c r="C59" i="40" s="1"/>
  <c r="C60" i="40" s="1"/>
  <c r="C61" i="40" s="1"/>
  <c r="C62" i="40" s="1"/>
  <c r="C63" i="40" s="1"/>
  <c r="C64" i="40" s="1"/>
  <c r="C65" i="40" s="1"/>
  <c r="C66" i="40" s="1"/>
  <c r="C67" i="40" s="1"/>
  <c r="C68" i="40" s="1"/>
  <c r="C69" i="40" s="1"/>
  <c r="C70" i="40" s="1"/>
  <c r="C71" i="40" s="1"/>
  <c r="C72" i="40" s="1"/>
  <c r="N87" i="41"/>
  <c r="C45" i="4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M87" i="41"/>
  <c r="C45" i="42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D94" i="11"/>
  <c r="C99" i="4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B30" i="10"/>
  <c r="C45" i="22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C45" i="10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B24" i="24"/>
  <c r="B18" i="42"/>
  <c r="D94" i="9"/>
  <c r="D93" i="9"/>
  <c r="D94" i="8"/>
  <c r="D93" i="8"/>
  <c r="D93" i="7"/>
  <c r="D94" i="7"/>
  <c r="O18" i="24"/>
  <c r="O19" i="8"/>
  <c r="B28" i="8"/>
  <c r="B26" i="22"/>
  <c r="O59" i="3"/>
  <c r="O49" i="3"/>
  <c r="O49" i="4"/>
  <c r="O20" i="3"/>
  <c r="P99" i="9"/>
  <c r="O39" i="9"/>
  <c r="O70" i="10"/>
  <c r="O64" i="10"/>
  <c r="O18" i="11"/>
  <c r="O67" i="13"/>
  <c r="O17" i="13"/>
  <c r="O63" i="22"/>
  <c r="O45" i="22"/>
  <c r="P100" i="8"/>
  <c r="O47" i="7"/>
  <c r="O18" i="7"/>
  <c r="P100" i="9"/>
  <c r="P100" i="10"/>
  <c r="O48" i="10"/>
  <c r="O66" i="11"/>
  <c r="O53" i="11"/>
  <c r="O46" i="11"/>
  <c r="O35" i="11"/>
  <c r="O29" i="11"/>
  <c r="O57" i="22"/>
  <c r="P124" i="6"/>
  <c r="P118" i="6"/>
  <c r="O17" i="22"/>
  <c r="O21" i="6"/>
  <c r="P110" i="5"/>
  <c r="P153" i="6"/>
  <c r="P151" i="6"/>
  <c r="P149" i="6"/>
  <c r="P143" i="6"/>
  <c r="P137" i="6"/>
  <c r="P117" i="6"/>
  <c r="P111" i="6"/>
  <c r="P151" i="8"/>
  <c r="P147" i="8"/>
  <c r="P145" i="8"/>
  <c r="P141" i="8"/>
  <c r="P139" i="8"/>
  <c r="P133" i="8"/>
  <c r="P131" i="8"/>
  <c r="P154" i="10"/>
  <c r="P150" i="10"/>
  <c r="P148" i="10"/>
  <c r="P144" i="10"/>
  <c r="P142" i="10"/>
  <c r="P140" i="10"/>
  <c r="P136" i="10"/>
  <c r="P118" i="10"/>
  <c r="P129" i="11"/>
  <c r="P117" i="11"/>
  <c r="P119" i="13"/>
  <c r="P109" i="13"/>
  <c r="P101" i="13"/>
  <c r="P127" i="23"/>
  <c r="P119" i="23"/>
  <c r="P107" i="23"/>
  <c r="O44" i="23"/>
  <c r="O58" i="24"/>
  <c r="O21" i="8"/>
  <c r="O22" i="9"/>
  <c r="O23" i="10"/>
  <c r="O31" i="27"/>
  <c r="O48" i="27"/>
  <c r="O69" i="27"/>
  <c r="P154" i="7"/>
  <c r="P152" i="7"/>
  <c r="P146" i="7"/>
  <c r="P144" i="7"/>
  <c r="P142" i="7"/>
  <c r="P140" i="7"/>
  <c r="P136" i="7"/>
  <c r="P124" i="7"/>
  <c r="P122" i="23"/>
  <c r="P118" i="23"/>
  <c r="O49" i="23"/>
  <c r="O26" i="23"/>
  <c r="O68" i="24"/>
  <c r="O45" i="24"/>
  <c r="O43" i="24"/>
  <c r="O67" i="25"/>
  <c r="O46" i="25"/>
  <c r="O22" i="11"/>
  <c r="O19" i="22"/>
  <c r="P119" i="25"/>
  <c r="I12" i="46"/>
  <c r="I12" i="45"/>
  <c r="I12" i="43"/>
  <c r="I13" i="43" s="1"/>
  <c r="P114" i="27"/>
  <c r="P116" i="27"/>
  <c r="P120" i="27"/>
  <c r="P126" i="27"/>
  <c r="P128" i="27"/>
  <c r="P130" i="27"/>
  <c r="O23" i="11"/>
  <c r="P104" i="6"/>
  <c r="O19" i="24"/>
  <c r="O21" i="25"/>
  <c r="O18" i="29"/>
  <c r="O17" i="30"/>
  <c r="O23" i="37"/>
  <c r="O42" i="37"/>
  <c r="P100" i="28"/>
  <c r="I12" i="44"/>
  <c r="J94" i="46"/>
  <c r="J95" i="46" s="1"/>
  <c r="J94" i="45"/>
  <c r="J95" i="45" s="1"/>
  <c r="J94" i="44"/>
  <c r="J95" i="44" s="1"/>
  <c r="O19" i="23"/>
  <c r="P103" i="25"/>
  <c r="O39" i="37"/>
  <c r="P113" i="28"/>
  <c r="P119" i="28"/>
  <c r="P125" i="28"/>
  <c r="P113" i="29"/>
  <c r="P119" i="29"/>
  <c r="P121" i="29"/>
  <c r="P108" i="10"/>
  <c r="O22" i="23"/>
  <c r="O21" i="24"/>
  <c r="O19" i="28"/>
  <c r="O18" i="30"/>
  <c r="P100" i="31"/>
  <c r="O42" i="41"/>
  <c r="O54" i="41"/>
  <c r="P106" i="3"/>
  <c r="O28" i="7"/>
  <c r="O26" i="8"/>
  <c r="O68" i="40"/>
  <c r="P105" i="3"/>
  <c r="O25" i="6"/>
  <c r="O25" i="8"/>
  <c r="P107" i="9"/>
  <c r="P104" i="22"/>
  <c r="O20" i="27"/>
  <c r="P100" i="29"/>
  <c r="O62" i="41"/>
  <c r="O66" i="41"/>
  <c r="O18" i="42"/>
  <c r="P107" i="6"/>
  <c r="O25" i="25"/>
  <c r="P106" i="28"/>
  <c r="P112" i="28"/>
  <c r="P122" i="28"/>
  <c r="O37" i="38"/>
  <c r="O57" i="38"/>
  <c r="O29" i="42"/>
  <c r="O27" i="6"/>
  <c r="P101" i="30"/>
  <c r="P108" i="6"/>
  <c r="P110" i="7"/>
  <c r="P109" i="11"/>
  <c r="O21" i="31"/>
  <c r="O33" i="43"/>
  <c r="O18" i="44"/>
  <c r="P128" i="38"/>
  <c r="P130" i="38"/>
  <c r="P101" i="41"/>
  <c r="P127" i="41"/>
  <c r="P101" i="42"/>
  <c r="P113" i="42"/>
  <c r="P119" i="42"/>
  <c r="P123" i="42"/>
  <c r="P105" i="25"/>
  <c r="P101" i="28"/>
  <c r="P107" i="4"/>
  <c r="P109" i="9"/>
  <c r="P105" i="23"/>
  <c r="O21" i="29"/>
  <c r="P106" i="43"/>
  <c r="P112" i="43"/>
  <c r="P116" i="43"/>
  <c r="P122" i="43"/>
  <c r="O28" i="44"/>
  <c r="O50" i="44"/>
  <c r="O60" i="44"/>
  <c r="O67" i="44"/>
  <c r="O61" i="45"/>
  <c r="O23" i="46"/>
  <c r="O37" i="46"/>
  <c r="O29" i="44"/>
  <c r="O64" i="44"/>
  <c r="O65" i="45"/>
  <c r="O31" i="46"/>
  <c r="C18" i="45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M87" i="45" s="1"/>
  <c r="P123" i="46"/>
  <c r="P122" i="45"/>
  <c r="P125" i="46"/>
  <c r="P120" i="28"/>
  <c r="P124" i="43"/>
  <c r="P114" i="45"/>
  <c r="P116" i="45"/>
  <c r="P118" i="45"/>
  <c r="P120" i="45"/>
  <c r="P128" i="45"/>
  <c r="P118" i="3"/>
  <c r="P148" i="6"/>
  <c r="P140" i="6"/>
  <c r="P112" i="7"/>
  <c r="P130" i="9"/>
  <c r="P126" i="9"/>
  <c r="P124" i="9"/>
  <c r="P120" i="9"/>
  <c r="P116" i="9"/>
  <c r="P112" i="9"/>
  <c r="P124" i="22"/>
  <c r="P122" i="22"/>
  <c r="P125" i="25"/>
  <c r="P130" i="28"/>
  <c r="P115" i="44"/>
  <c r="P119" i="44"/>
  <c r="P121" i="44"/>
  <c r="P123" i="44"/>
  <c r="P127" i="44"/>
  <c r="P129" i="44"/>
  <c r="P123" i="28"/>
  <c r="P127" i="28"/>
  <c r="P122" i="29"/>
  <c r="P124" i="29"/>
  <c r="P126" i="29"/>
  <c r="P130" i="29"/>
  <c r="P109" i="30"/>
  <c r="P113" i="30"/>
  <c r="P117" i="30"/>
  <c r="P119" i="30"/>
  <c r="P123" i="30"/>
  <c r="P125" i="30"/>
  <c r="P127" i="30"/>
  <c r="P129" i="30"/>
  <c r="P105" i="31"/>
  <c r="P119" i="43"/>
  <c r="P123" i="43"/>
  <c r="P149" i="3"/>
  <c r="P130" i="46"/>
  <c r="P147" i="3"/>
  <c r="P145" i="3"/>
  <c r="P143" i="3"/>
  <c r="P135" i="3"/>
  <c r="P133" i="3"/>
  <c r="P131" i="3"/>
  <c r="P127" i="3"/>
  <c r="P125" i="3"/>
  <c r="P121" i="3"/>
  <c r="P117" i="3"/>
  <c r="P115" i="3"/>
  <c r="P154" i="4"/>
  <c r="P152" i="4"/>
  <c r="P150" i="4"/>
  <c r="P148" i="4"/>
  <c r="P130" i="4"/>
  <c r="P122" i="4"/>
  <c r="P118" i="4"/>
  <c r="P116" i="4"/>
  <c r="P110" i="4"/>
  <c r="P142" i="5"/>
  <c r="P140" i="5"/>
  <c r="P136" i="5"/>
  <c r="P130" i="5"/>
  <c r="P148" i="7"/>
  <c r="P153" i="8"/>
  <c r="P130" i="10"/>
  <c r="P127" i="11"/>
  <c r="P119" i="11"/>
  <c r="P113" i="11"/>
  <c r="P111" i="13"/>
  <c r="P103" i="13"/>
  <c r="P116" i="22"/>
  <c r="P114" i="22"/>
  <c r="P110" i="22"/>
  <c r="P116" i="23"/>
  <c r="P120" i="25"/>
  <c r="P116" i="25"/>
  <c r="P114" i="25"/>
  <c r="P110" i="28"/>
  <c r="P107" i="41"/>
  <c r="P111" i="41"/>
  <c r="P113" i="41"/>
  <c r="P125" i="41"/>
  <c r="P129" i="41"/>
  <c r="P121" i="42"/>
  <c r="P127" i="42"/>
  <c r="P102" i="43"/>
  <c r="P114" i="43"/>
  <c r="P118" i="43"/>
  <c r="P127" i="43"/>
  <c r="P99" i="44"/>
  <c r="P100" i="44"/>
  <c r="P106" i="44"/>
  <c r="P108" i="44"/>
  <c r="P110" i="44"/>
  <c r="P112" i="44"/>
  <c r="P114" i="44"/>
  <c r="P116" i="44"/>
  <c r="P120" i="44"/>
  <c r="P128" i="44"/>
  <c r="P130" i="44"/>
  <c r="P100" i="46"/>
  <c r="P106" i="46"/>
  <c r="P108" i="46"/>
  <c r="P120" i="46"/>
  <c r="P126" i="46"/>
  <c r="P145" i="4"/>
  <c r="P123" i="7"/>
  <c r="P121" i="7"/>
  <c r="P119" i="7"/>
  <c r="P113" i="7"/>
  <c r="P154" i="8"/>
  <c r="P150" i="8"/>
  <c r="P146" i="8"/>
  <c r="P144" i="8"/>
  <c r="P142" i="8"/>
  <c r="P121" i="9"/>
  <c r="P119" i="9"/>
  <c r="P111" i="9"/>
  <c r="P107" i="39"/>
  <c r="P123" i="39"/>
  <c r="P127" i="39"/>
  <c r="P120" i="41"/>
  <c r="P124" i="41"/>
  <c r="P126" i="41"/>
  <c r="P128" i="41"/>
  <c r="P130" i="41"/>
  <c r="P106" i="42"/>
  <c r="P108" i="42"/>
  <c r="P110" i="42"/>
  <c r="P118" i="42"/>
  <c r="P120" i="42"/>
  <c r="P122" i="42"/>
  <c r="P99" i="46"/>
  <c r="P117" i="46"/>
  <c r="P147" i="4"/>
  <c r="P147" i="6"/>
  <c r="P145" i="6"/>
  <c r="P141" i="6"/>
  <c r="P139" i="6"/>
  <c r="P135" i="6"/>
  <c r="P133" i="6"/>
  <c r="P131" i="6"/>
  <c r="P129" i="6"/>
  <c r="P127" i="6"/>
  <c r="P125" i="6"/>
  <c r="P123" i="6"/>
  <c r="P121" i="6"/>
  <c r="P145" i="10"/>
  <c r="P111" i="31"/>
  <c r="P117" i="31"/>
  <c r="P119" i="31"/>
  <c r="P121" i="31"/>
  <c r="P129" i="31"/>
  <c r="P102" i="38"/>
  <c r="P126" i="38"/>
  <c r="P110" i="39"/>
  <c r="P112" i="39"/>
  <c r="P116" i="39"/>
  <c r="P115" i="42"/>
  <c r="P117" i="42"/>
  <c r="P109" i="46"/>
  <c r="P152" i="3"/>
  <c r="P116" i="3"/>
  <c r="P137" i="4"/>
  <c r="P141" i="5"/>
  <c r="P149" i="8"/>
  <c r="P127" i="9"/>
  <c r="P121" i="22"/>
  <c r="P129" i="23"/>
  <c r="P125" i="23"/>
  <c r="P123" i="23"/>
  <c r="P121" i="23"/>
  <c r="P113" i="23"/>
  <c r="P152" i="5"/>
  <c r="P148" i="5"/>
  <c r="P138" i="5"/>
  <c r="P134" i="5"/>
  <c r="P132" i="5"/>
  <c r="P127" i="5"/>
  <c r="P121" i="5"/>
  <c r="P119" i="5"/>
  <c r="P115" i="5"/>
  <c r="P152" i="6"/>
  <c r="P153" i="7"/>
  <c r="P143" i="7"/>
  <c r="P139" i="7"/>
  <c r="P125" i="7"/>
  <c r="P120" i="7"/>
  <c r="P118" i="7"/>
  <c r="P152" i="8"/>
  <c r="P148" i="8"/>
  <c r="P140" i="8"/>
  <c r="P129" i="8"/>
  <c r="P115" i="8"/>
  <c r="P128" i="9"/>
  <c r="P122" i="9"/>
  <c r="P146" i="10"/>
  <c r="P128" i="22"/>
  <c r="P120" i="22"/>
  <c r="P118" i="22"/>
  <c r="P101" i="38"/>
  <c r="P127" i="38"/>
  <c r="P129" i="38"/>
  <c r="P101" i="39"/>
  <c r="P103" i="39"/>
  <c r="P111" i="39"/>
  <c r="P117" i="39"/>
  <c r="P119" i="39"/>
  <c r="P121" i="39"/>
  <c r="P125" i="39"/>
  <c r="P129" i="39"/>
  <c r="P108" i="40"/>
  <c r="P110" i="40"/>
  <c r="P112" i="40"/>
  <c r="P114" i="40"/>
  <c r="P116" i="40"/>
  <c r="P118" i="40"/>
  <c r="P122" i="40"/>
  <c r="P115" i="41"/>
  <c r="P117" i="41"/>
  <c r="P119" i="45"/>
  <c r="L86" i="45"/>
  <c r="F48" i="2"/>
  <c r="F52" i="2" s="1"/>
  <c r="P120" i="6"/>
  <c r="P127" i="8"/>
  <c r="P123" i="8"/>
  <c r="P121" i="8"/>
  <c r="P117" i="8"/>
  <c r="P113" i="9"/>
  <c r="P138" i="10"/>
  <c r="P123" i="11"/>
  <c r="P121" i="11"/>
  <c r="P129" i="13"/>
  <c r="P127" i="13"/>
  <c r="P115" i="13"/>
  <c r="P107" i="13"/>
  <c r="P105" i="13"/>
  <c r="P99" i="13"/>
  <c r="P113" i="22"/>
  <c r="P109" i="22"/>
  <c r="P114" i="23"/>
  <c r="P125" i="38"/>
  <c r="P113" i="39"/>
  <c r="P109" i="45"/>
  <c r="P113" i="45"/>
  <c r="P121" i="45"/>
  <c r="P123" i="45"/>
  <c r="P125" i="45"/>
  <c r="P127" i="45"/>
  <c r="P153" i="3"/>
  <c r="P151" i="3"/>
  <c r="P141" i="3"/>
  <c r="P139" i="3"/>
  <c r="P129" i="3"/>
  <c r="P123" i="3"/>
  <c r="P119" i="3"/>
  <c r="P146" i="4"/>
  <c r="P138" i="4"/>
  <c r="P134" i="4"/>
  <c r="P128" i="4"/>
  <c r="P126" i="4"/>
  <c r="P120" i="4"/>
  <c r="P135" i="7"/>
  <c r="P147" i="10"/>
  <c r="P141" i="10"/>
  <c r="P139" i="10"/>
  <c r="P126" i="25"/>
  <c r="P124" i="25"/>
  <c r="P122" i="25"/>
  <c r="P118" i="25"/>
  <c r="J94" i="43"/>
  <c r="J94" i="13"/>
  <c r="J94" i="30"/>
  <c r="J95" i="30" s="1"/>
  <c r="J94" i="27"/>
  <c r="J95" i="27" s="1"/>
  <c r="J94" i="8"/>
  <c r="J95" i="8" s="1"/>
  <c r="J94" i="3"/>
  <c r="J95" i="3" s="1"/>
  <c r="J94" i="38"/>
  <c r="J94" i="25"/>
  <c r="J95" i="25" s="1"/>
  <c r="J94" i="28"/>
  <c r="J95" i="28" s="1"/>
  <c r="J94" i="7"/>
  <c r="J95" i="7" s="1"/>
  <c r="J94" i="9"/>
  <c r="J95" i="9" s="1"/>
  <c r="J94" i="4"/>
  <c r="J95" i="4" s="1"/>
  <c r="J94" i="6"/>
  <c r="J95" i="6" s="1"/>
  <c r="J94" i="11"/>
  <c r="J95" i="11" s="1"/>
  <c r="P107" i="27"/>
  <c r="P114" i="29"/>
  <c r="P110" i="30"/>
  <c r="P114" i="31"/>
  <c r="P100" i="43"/>
  <c r="P108" i="43"/>
  <c r="P108" i="45"/>
  <c r="P144" i="5"/>
  <c r="P108" i="23"/>
  <c r="P129" i="24"/>
  <c r="P109" i="25"/>
  <c r="P128" i="29"/>
  <c r="P105" i="30"/>
  <c r="P123" i="37"/>
  <c r="P107" i="40"/>
  <c r="P115" i="40"/>
  <c r="P117" i="40"/>
  <c r="P108" i="41"/>
  <c r="P124" i="42"/>
  <c r="P101" i="43"/>
  <c r="P107" i="43"/>
  <c r="P109" i="43"/>
  <c r="P128" i="43"/>
  <c r="P124" i="44"/>
  <c r="P126" i="44"/>
  <c r="P100" i="45"/>
  <c r="P102" i="45"/>
  <c r="P104" i="45"/>
  <c r="P106" i="45"/>
  <c r="P105" i="46"/>
  <c r="P107" i="46"/>
  <c r="P113" i="46"/>
  <c r="P115" i="46"/>
  <c r="P149" i="5"/>
  <c r="P133" i="5"/>
  <c r="P129" i="5"/>
  <c r="P124" i="5"/>
  <c r="P110" i="6"/>
  <c r="P143" i="8"/>
  <c r="P129" i="9"/>
  <c r="P153" i="10"/>
  <c r="P151" i="10"/>
  <c r="P149" i="10"/>
  <c r="P134" i="10"/>
  <c r="P126" i="10"/>
  <c r="P125" i="11"/>
  <c r="P124" i="13"/>
  <c r="P122" i="13"/>
  <c r="P127" i="22"/>
  <c r="P123" i="22"/>
  <c r="P108" i="22"/>
  <c r="P126" i="23"/>
  <c r="P128" i="24"/>
  <c r="P124" i="24"/>
  <c r="P120" i="24"/>
  <c r="P118" i="24"/>
  <c r="P116" i="24"/>
  <c r="P105" i="29"/>
  <c r="P115" i="29"/>
  <c r="P123" i="31"/>
  <c r="P116" i="37"/>
  <c r="P120" i="38"/>
  <c r="P107" i="42"/>
  <c r="P129" i="42"/>
  <c r="P129" i="43"/>
  <c r="P103" i="45"/>
  <c r="P107" i="45"/>
  <c r="P116" i="46"/>
  <c r="P143" i="4"/>
  <c r="P130" i="6"/>
  <c r="P127" i="25"/>
  <c r="P106" i="24"/>
  <c r="P105" i="44"/>
  <c r="P112" i="45"/>
  <c r="P142" i="4"/>
  <c r="P132" i="4"/>
  <c r="P154" i="5"/>
  <c r="P125" i="29"/>
  <c r="P124" i="40"/>
  <c r="P130" i="40"/>
  <c r="P143" i="5"/>
  <c r="P122" i="5"/>
  <c r="P109" i="5"/>
  <c r="P134" i="7"/>
  <c r="P130" i="7"/>
  <c r="P125" i="8"/>
  <c r="P143" i="10"/>
  <c r="P132" i="10"/>
  <c r="P128" i="10"/>
  <c r="P123" i="13"/>
  <c r="P121" i="13"/>
  <c r="P117" i="13"/>
  <c r="P130" i="23"/>
  <c r="P128" i="23"/>
  <c r="P124" i="23"/>
  <c r="P107" i="24"/>
  <c r="P130" i="25"/>
  <c r="P123" i="29"/>
  <c r="P127" i="29"/>
  <c r="P111" i="30"/>
  <c r="P115" i="30"/>
  <c r="P110" i="31"/>
  <c r="P112" i="31"/>
  <c r="P125" i="31"/>
  <c r="P127" i="31"/>
  <c r="P112" i="37"/>
  <c r="P109" i="39"/>
  <c r="P119" i="40"/>
  <c r="P123" i="40"/>
  <c r="P126" i="40"/>
  <c r="P109" i="41"/>
  <c r="P112" i="42"/>
  <c r="P116" i="42"/>
  <c r="P101" i="44"/>
  <c r="P113" i="44"/>
  <c r="P101" i="45"/>
  <c r="P110" i="45"/>
  <c r="P117" i="45"/>
  <c r="P124" i="45"/>
  <c r="P103" i="46"/>
  <c r="P110" i="46"/>
  <c r="P112" i="46"/>
  <c r="P119" i="46"/>
  <c r="P121" i="46"/>
  <c r="P150" i="5"/>
  <c r="P117" i="27"/>
  <c r="P104" i="30"/>
  <c r="P121" i="30"/>
  <c r="P113" i="43"/>
  <c r="P117" i="43"/>
  <c r="P117" i="44"/>
  <c r="P105" i="45"/>
  <c r="P111" i="45"/>
  <c r="P114" i="46"/>
  <c r="P127" i="46"/>
  <c r="P151" i="5"/>
  <c r="P146" i="5"/>
  <c r="P137" i="5"/>
  <c r="P135" i="5"/>
  <c r="P125" i="5"/>
  <c r="P142" i="6"/>
  <c r="P128" i="6"/>
  <c r="P119" i="6"/>
  <c r="P112" i="6"/>
  <c r="P151" i="7"/>
  <c r="P147" i="7"/>
  <c r="P131" i="7"/>
  <c r="P127" i="7"/>
  <c r="P135" i="8"/>
  <c r="P119" i="8"/>
  <c r="P111" i="8"/>
  <c r="P117" i="9"/>
  <c r="P135" i="10"/>
  <c r="P133" i="10"/>
  <c r="P114" i="10"/>
  <c r="P112" i="10"/>
  <c r="P130" i="22"/>
  <c r="P109" i="23"/>
  <c r="P130" i="24"/>
  <c r="P127" i="24"/>
  <c r="P123" i="24"/>
  <c r="P121" i="24"/>
  <c r="P121" i="25"/>
  <c r="P106" i="27"/>
  <c r="P115" i="28"/>
  <c r="P103" i="30"/>
  <c r="P114" i="30"/>
  <c r="P122" i="30"/>
  <c r="P130" i="30"/>
  <c r="P106" i="31"/>
  <c r="P113" i="31"/>
  <c r="P122" i="31"/>
  <c r="P117" i="37"/>
  <c r="P121" i="37"/>
  <c r="P127" i="37"/>
  <c r="P115" i="38"/>
  <c r="P121" i="38"/>
  <c r="P125" i="40"/>
  <c r="P119" i="41"/>
  <c r="P123" i="41"/>
  <c r="P125" i="43"/>
  <c r="P99" i="45"/>
  <c r="P115" i="45"/>
  <c r="P129" i="45"/>
  <c r="P102" i="46"/>
  <c r="P104" i="46"/>
  <c r="P111" i="46"/>
  <c r="P118" i="46"/>
  <c r="P122" i="46"/>
  <c r="P128" i="46"/>
  <c r="P126" i="6"/>
  <c r="P129" i="7"/>
  <c r="P123" i="9"/>
  <c r="P131" i="10"/>
  <c r="P120" i="23"/>
  <c r="P123" i="27"/>
  <c r="P121" i="28"/>
  <c r="P108" i="39"/>
  <c r="P102" i="41"/>
  <c r="P126" i="43"/>
  <c r="P122" i="10"/>
  <c r="P120" i="10"/>
  <c r="P113" i="10"/>
  <c r="P118" i="13"/>
  <c r="P113" i="13"/>
  <c r="P104" i="29"/>
  <c r="P111" i="42"/>
  <c r="P111" i="11"/>
  <c r="P115" i="23"/>
  <c r="P129" i="28"/>
  <c r="P110" i="38"/>
  <c r="P120" i="43"/>
  <c r="P130" i="43"/>
  <c r="P118" i="44"/>
  <c r="C38" i="17"/>
  <c r="C50" i="17"/>
  <c r="C51" i="17"/>
  <c r="C36" i="17"/>
  <c r="D20" i="17"/>
  <c r="C20" i="17"/>
  <c r="D32" i="17"/>
  <c r="C18" i="17"/>
  <c r="D53" i="17"/>
  <c r="C30" i="17"/>
  <c r="C52" i="17"/>
  <c r="C26" i="17"/>
  <c r="C47" i="17"/>
  <c r="C53" i="17"/>
  <c r="D37" i="17"/>
  <c r="C27" i="17"/>
  <c r="C33" i="17"/>
  <c r="D19" i="17"/>
  <c r="C45" i="17"/>
  <c r="C29" i="17"/>
  <c r="D26" i="17"/>
  <c r="D45" i="17"/>
  <c r="D50" i="17"/>
  <c r="D49" i="17"/>
  <c r="D43" i="17"/>
  <c r="C28" i="17"/>
  <c r="D46" i="17"/>
  <c r="C44" i="17"/>
  <c r="C39" i="17"/>
  <c r="C46" i="17"/>
  <c r="C49" i="17"/>
  <c r="C23" i="17"/>
  <c r="D52" i="17"/>
  <c r="D48" i="17"/>
  <c r="D51" i="17"/>
  <c r="C48" i="17"/>
  <c r="C32" i="17"/>
  <c r="D36" i="17"/>
  <c r="D40" i="17"/>
  <c r="D47" i="17"/>
  <c r="D44" i="17"/>
  <c r="C19" i="17"/>
  <c r="D29" i="17"/>
  <c r="C35" i="17"/>
  <c r="C37" i="17"/>
  <c r="G73" i="57" l="1"/>
  <c r="H18" i="57"/>
  <c r="H19" i="57"/>
  <c r="I19" i="57" s="1"/>
  <c r="H20" i="57"/>
  <c r="I20" i="57" s="1"/>
  <c r="H21" i="57"/>
  <c r="I21" i="57" s="1"/>
  <c r="H22" i="57"/>
  <c r="I22" i="57" s="1"/>
  <c r="H23" i="57"/>
  <c r="I23" i="57" s="1"/>
  <c r="H24" i="57"/>
  <c r="I24" i="57" s="1"/>
  <c r="H25" i="57"/>
  <c r="I25" i="57" s="1"/>
  <c r="H26" i="57"/>
  <c r="I26" i="57" s="1"/>
  <c r="H27" i="57"/>
  <c r="I27" i="57" s="1"/>
  <c r="H28" i="57"/>
  <c r="I28" i="57" s="1"/>
  <c r="H29" i="57"/>
  <c r="I29" i="57" s="1"/>
  <c r="H30" i="57"/>
  <c r="I30" i="57" s="1"/>
  <c r="H31" i="57"/>
  <c r="I31" i="57" s="1"/>
  <c r="H32" i="57"/>
  <c r="I32" i="57" s="1"/>
  <c r="H33" i="57"/>
  <c r="I33" i="57" s="1"/>
  <c r="H34" i="57"/>
  <c r="I34" i="57" s="1"/>
  <c r="H35" i="57"/>
  <c r="I35" i="57" s="1"/>
  <c r="H36" i="57"/>
  <c r="I36" i="57" s="1"/>
  <c r="H37" i="57"/>
  <c r="I37" i="57" s="1"/>
  <c r="H38" i="57"/>
  <c r="I38" i="57" s="1"/>
  <c r="H39" i="57"/>
  <c r="I39" i="57" s="1"/>
  <c r="H40" i="57"/>
  <c r="I40" i="57" s="1"/>
  <c r="H41" i="57"/>
  <c r="I41" i="57" s="1"/>
  <c r="H42" i="57"/>
  <c r="I42" i="57" s="1"/>
  <c r="H43" i="57"/>
  <c r="I43" i="57" s="1"/>
  <c r="H44" i="57"/>
  <c r="I44" i="57" s="1"/>
  <c r="H45" i="57"/>
  <c r="I45" i="57" s="1"/>
  <c r="H46" i="57"/>
  <c r="I46" i="57" s="1"/>
  <c r="H47" i="57"/>
  <c r="I47" i="57" s="1"/>
  <c r="H48" i="57"/>
  <c r="I48" i="57" s="1"/>
  <c r="H49" i="57"/>
  <c r="I49" i="57" s="1"/>
  <c r="H50" i="57"/>
  <c r="I50" i="57" s="1"/>
  <c r="H51" i="57"/>
  <c r="I51" i="57" s="1"/>
  <c r="H52" i="57"/>
  <c r="I52" i="57" s="1"/>
  <c r="H53" i="57"/>
  <c r="I53" i="57" s="1"/>
  <c r="H54" i="57"/>
  <c r="I54" i="57" s="1"/>
  <c r="H55" i="57"/>
  <c r="I55" i="57" s="1"/>
  <c r="H56" i="57"/>
  <c r="I56" i="57" s="1"/>
  <c r="H57" i="57"/>
  <c r="I57" i="57" s="1"/>
  <c r="H58" i="57"/>
  <c r="I58" i="57" s="1"/>
  <c r="H59" i="57"/>
  <c r="I59" i="57" s="1"/>
  <c r="H60" i="57"/>
  <c r="I60" i="57" s="1"/>
  <c r="H61" i="57"/>
  <c r="I61" i="57" s="1"/>
  <c r="H62" i="57"/>
  <c r="I62" i="57" s="1"/>
  <c r="H63" i="57"/>
  <c r="I63" i="57" s="1"/>
  <c r="H64" i="57"/>
  <c r="I64" i="57" s="1"/>
  <c r="H65" i="57"/>
  <c r="I65" i="57" s="1"/>
  <c r="H66" i="57"/>
  <c r="I66" i="57" s="1"/>
  <c r="H67" i="57"/>
  <c r="I67" i="57" s="1"/>
  <c r="H68" i="57"/>
  <c r="I68" i="57" s="1"/>
  <c r="H69" i="57"/>
  <c r="I69" i="57" s="1"/>
  <c r="H70" i="57"/>
  <c r="I70" i="57" s="1"/>
  <c r="H71" i="57"/>
  <c r="I71" i="57" s="1"/>
  <c r="H72" i="57"/>
  <c r="I72" i="57" s="1"/>
  <c r="J95" i="52"/>
  <c r="H99" i="52"/>
  <c r="M88" i="52" s="1"/>
  <c r="M89" i="52" s="1"/>
  <c r="J95" i="51"/>
  <c r="J95" i="56"/>
  <c r="J95" i="50"/>
  <c r="I13" i="52"/>
  <c r="I13" i="51"/>
  <c r="H17" i="13"/>
  <c r="C100" i="3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20" i="1"/>
  <c r="E32" i="1" s="1"/>
  <c r="N87" i="11"/>
  <c r="O87" i="11" s="1"/>
  <c r="D100" i="13"/>
  <c r="B100" i="13" s="1"/>
  <c r="M87" i="10"/>
  <c r="O87" i="10" s="1"/>
  <c r="N87" i="25"/>
  <c r="O87" i="25" s="1"/>
  <c r="L86" i="25"/>
  <c r="F20" i="2"/>
  <c r="E32" i="2" s="1"/>
  <c r="M87" i="9"/>
  <c r="O87" i="9" s="1"/>
  <c r="L86" i="10"/>
  <c r="N87" i="37"/>
  <c r="N87" i="4"/>
  <c r="M87" i="28"/>
  <c r="O87" i="28" s="1"/>
  <c r="L86" i="28"/>
  <c r="N87" i="23"/>
  <c r="N87" i="42"/>
  <c r="N87" i="3"/>
  <c r="O87" i="3" s="1"/>
  <c r="M87" i="23"/>
  <c r="M87" i="40"/>
  <c r="M87" i="5"/>
  <c r="N87" i="13"/>
  <c r="M87" i="31"/>
  <c r="N87" i="22"/>
  <c r="O87" i="22" s="1"/>
  <c r="L86" i="3"/>
  <c r="N87" i="31"/>
  <c r="M87" i="42"/>
  <c r="L86" i="39"/>
  <c r="M87" i="8"/>
  <c r="N87" i="8"/>
  <c r="M87" i="29"/>
  <c r="N87" i="29"/>
  <c r="L86" i="22"/>
  <c r="M87" i="13"/>
  <c r="L86" i="44"/>
  <c r="M87" i="7"/>
  <c r="N87" i="5"/>
  <c r="N87" i="27"/>
  <c r="M87" i="27"/>
  <c r="N87" i="24"/>
  <c r="N87" i="30"/>
  <c r="N87" i="40"/>
  <c r="M87" i="44"/>
  <c r="O87" i="44" s="1"/>
  <c r="N87" i="7"/>
  <c r="M87" i="43"/>
  <c r="O87" i="43" s="1"/>
  <c r="M87" i="24"/>
  <c r="L86" i="43"/>
  <c r="M87" i="30"/>
  <c r="M87" i="39"/>
  <c r="O87" i="39" s="1"/>
  <c r="L86" i="9"/>
  <c r="N87" i="38"/>
  <c r="M87" i="38"/>
  <c r="M87" i="6"/>
  <c r="N87" i="6"/>
  <c r="L86" i="11"/>
  <c r="M87" i="37"/>
  <c r="M87" i="4"/>
  <c r="B19" i="44"/>
  <c r="D18" i="13"/>
  <c r="G17" i="13"/>
  <c r="B18" i="45"/>
  <c r="C100" i="38"/>
  <c r="C101" i="38" s="1"/>
  <c r="C102" i="38" s="1"/>
  <c r="C103" i="38" s="1"/>
  <c r="C104" i="38" s="1"/>
  <c r="C105" i="38" s="1"/>
  <c r="C106" i="38" s="1"/>
  <c r="C107" i="38" s="1"/>
  <c r="C108" i="38" s="1"/>
  <c r="C109" i="38" s="1"/>
  <c r="C110" i="38" s="1"/>
  <c r="C111" i="38" s="1"/>
  <c r="C112" i="38" s="1"/>
  <c r="C113" i="38" s="1"/>
  <c r="C114" i="38" s="1"/>
  <c r="C115" i="38" s="1"/>
  <c r="C116" i="38" s="1"/>
  <c r="C117" i="38" s="1"/>
  <c r="C118" i="38" s="1"/>
  <c r="C119" i="38" s="1"/>
  <c r="C120" i="38" s="1"/>
  <c r="C121" i="38" s="1"/>
  <c r="C122" i="38" s="1"/>
  <c r="C123" i="38" s="1"/>
  <c r="C124" i="38" s="1"/>
  <c r="C125" i="38" s="1"/>
  <c r="C126" i="38" s="1"/>
  <c r="C127" i="38" s="1"/>
  <c r="C128" i="38" s="1"/>
  <c r="C129" i="38" s="1"/>
  <c r="C130" i="38" s="1"/>
  <c r="C131" i="38" s="1"/>
  <c r="C132" i="38" s="1"/>
  <c r="C133" i="38" s="1"/>
  <c r="C134" i="38" s="1"/>
  <c r="C135" i="38" s="1"/>
  <c r="C136" i="38" s="1"/>
  <c r="C137" i="38" s="1"/>
  <c r="C138" i="38" s="1"/>
  <c r="C139" i="38" s="1"/>
  <c r="C140" i="38" s="1"/>
  <c r="C141" i="38" s="1"/>
  <c r="C142" i="38" s="1"/>
  <c r="C143" i="38" s="1"/>
  <c r="C144" i="38" s="1"/>
  <c r="C145" i="38" s="1"/>
  <c r="C146" i="38" s="1"/>
  <c r="C147" i="38" s="1"/>
  <c r="C148" i="38" s="1"/>
  <c r="C149" i="38" s="1"/>
  <c r="C150" i="38" s="1"/>
  <c r="C151" i="38" s="1"/>
  <c r="C152" i="38" s="1"/>
  <c r="C153" i="38" s="1"/>
  <c r="C154" i="38" s="1"/>
  <c r="C99" i="22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M87" i="46"/>
  <c r="N87" i="46"/>
  <c r="L86" i="46"/>
  <c r="O87" i="41"/>
  <c r="C99" i="29"/>
  <c r="C100" i="29" s="1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I13" i="44"/>
  <c r="I13" i="45"/>
  <c r="C99" i="7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99" i="8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45" i="45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N87" i="45"/>
  <c r="I13" i="46"/>
  <c r="N6" i="46" s="1"/>
  <c r="N5" i="46"/>
  <c r="C99" i="9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J95" i="43"/>
  <c r="J95" i="38"/>
  <c r="J95" i="13"/>
  <c r="I99" i="13" s="1"/>
  <c r="H99" i="13"/>
  <c r="C22" i="17"/>
  <c r="C40" i="17"/>
  <c r="C31" i="17"/>
  <c r="C25" i="17"/>
  <c r="D34" i="17"/>
  <c r="D27" i="17"/>
  <c r="C41" i="17"/>
  <c r="D18" i="17"/>
  <c r="C34" i="17"/>
  <c r="D31" i="17"/>
  <c r="D39" i="17"/>
  <c r="C21" i="17"/>
  <c r="D25" i="17"/>
  <c r="D42" i="17"/>
  <c r="D38" i="17"/>
  <c r="D33" i="17"/>
  <c r="C42" i="17"/>
  <c r="D23" i="17"/>
  <c r="D21" i="17"/>
  <c r="D35" i="17"/>
  <c r="D41" i="17"/>
  <c r="C43" i="17"/>
  <c r="D22" i="17"/>
  <c r="D24" i="17"/>
  <c r="D30" i="17"/>
  <c r="D28" i="17"/>
  <c r="C24" i="17"/>
  <c r="I51" i="17"/>
  <c r="I18" i="57" l="1"/>
  <c r="I73" i="57" s="1"/>
  <c r="M18" i="57"/>
  <c r="N18" i="57" s="1"/>
  <c r="O18" i="57" s="1"/>
  <c r="H73" i="57"/>
  <c r="I17" i="52"/>
  <c r="I17" i="51"/>
  <c r="I18" i="51"/>
  <c r="I99" i="52"/>
  <c r="O87" i="5"/>
  <c r="O87" i="13"/>
  <c r="O87" i="7"/>
  <c r="I17" i="13"/>
  <c r="E25" i="1"/>
  <c r="E26" i="1" s="1"/>
  <c r="E30" i="1" s="1"/>
  <c r="E33" i="1" s="1"/>
  <c r="E25" i="2"/>
  <c r="E26" i="2" s="1"/>
  <c r="E30" i="2" s="1"/>
  <c r="E33" i="2" s="1"/>
  <c r="E37" i="2" s="1"/>
  <c r="F54" i="2" s="1"/>
  <c r="E100" i="13"/>
  <c r="F100" i="13" s="1"/>
  <c r="D101" i="13" s="1"/>
  <c r="E101" i="13" s="1"/>
  <c r="O87" i="23"/>
  <c r="O87" i="4"/>
  <c r="O87" i="37"/>
  <c r="O87" i="42"/>
  <c r="O87" i="24"/>
  <c r="O87" i="40"/>
  <c r="O87" i="8"/>
  <c r="O87" i="31"/>
  <c r="O87" i="30"/>
  <c r="O87" i="29"/>
  <c r="B100" i="44"/>
  <c r="O87" i="27"/>
  <c r="O87" i="6"/>
  <c r="O87" i="38"/>
  <c r="J99" i="44"/>
  <c r="B19" i="45"/>
  <c r="B18" i="13"/>
  <c r="E18" i="13"/>
  <c r="F18" i="13" s="1"/>
  <c r="D19" i="13" s="1"/>
  <c r="B23" i="27"/>
  <c r="O87" i="46"/>
  <c r="O87" i="45"/>
  <c r="B20" i="37"/>
  <c r="I17" i="46"/>
  <c r="I19" i="37"/>
  <c r="N6" i="37"/>
  <c r="N5" i="37"/>
  <c r="B31" i="10"/>
  <c r="I30" i="10"/>
  <c r="I18" i="44"/>
  <c r="J99" i="13"/>
  <c r="J99" i="52" l="1"/>
  <c r="N88" i="52"/>
  <c r="F53" i="1"/>
  <c r="F101" i="13"/>
  <c r="G101" i="13" s="1"/>
  <c r="I101" i="13" s="1"/>
  <c r="G100" i="13"/>
  <c r="H100" i="13" s="1"/>
  <c r="B101" i="13"/>
  <c r="F53" i="2"/>
  <c r="F55" i="2" s="1"/>
  <c r="F62" i="2" s="1"/>
  <c r="F65" i="2" s="1"/>
  <c r="F67" i="2" s="1"/>
  <c r="F69" i="2" s="1"/>
  <c r="F70" i="2" s="1"/>
  <c r="F71" i="2" s="1"/>
  <c r="F56" i="2" s="1"/>
  <c r="F57" i="2" s="1"/>
  <c r="E37" i="1"/>
  <c r="F54" i="1" s="1"/>
  <c r="I18" i="45"/>
  <c r="G18" i="13"/>
  <c r="H18" i="13"/>
  <c r="I18" i="46"/>
  <c r="E19" i="13"/>
  <c r="F19" i="13" s="1"/>
  <c r="B19" i="13"/>
  <c r="B100" i="45"/>
  <c r="N5" i="27"/>
  <c r="N6" i="44"/>
  <c r="B30" i="9"/>
  <c r="N5" i="9"/>
  <c r="B19" i="46"/>
  <c r="I29" i="9"/>
  <c r="N6" i="9"/>
  <c r="I17" i="45"/>
  <c r="N7" i="37"/>
  <c r="I17" i="44"/>
  <c r="I20" i="37"/>
  <c r="F36" i="17"/>
  <c r="N89" i="52" l="1"/>
  <c r="O88" i="52"/>
  <c r="O89" i="52" s="1"/>
  <c r="F55" i="1"/>
  <c r="F76" i="1" s="1"/>
  <c r="F77" i="1" s="1"/>
  <c r="I100" i="13"/>
  <c r="J100" i="13" s="1"/>
  <c r="D102" i="13"/>
  <c r="B102" i="13" s="1"/>
  <c r="H101" i="13"/>
  <c r="J101" i="13" s="1"/>
  <c r="I18" i="13"/>
  <c r="I19" i="44"/>
  <c r="N5" i="44"/>
  <c r="N7" i="44" s="1"/>
  <c r="B20" i="44"/>
  <c r="I19" i="45"/>
  <c r="G19" i="13"/>
  <c r="D20" i="13"/>
  <c r="H19" i="13"/>
  <c r="J99" i="45"/>
  <c r="I23" i="27"/>
  <c r="N6" i="27"/>
  <c r="N7" i="27" s="1"/>
  <c r="B24" i="27"/>
  <c r="G36" i="17"/>
  <c r="N5" i="41"/>
  <c r="N5" i="7"/>
  <c r="B28" i="5"/>
  <c r="I19" i="38"/>
  <c r="N6" i="38"/>
  <c r="B23" i="31"/>
  <c r="I26" i="25"/>
  <c r="N6" i="25"/>
  <c r="I24" i="24"/>
  <c r="N6" i="24"/>
  <c r="B19" i="41"/>
  <c r="N5" i="43"/>
  <c r="N6" i="6"/>
  <c r="I28" i="6"/>
  <c r="N6" i="8"/>
  <c r="I28" i="8"/>
  <c r="I29" i="11"/>
  <c r="N6" i="11"/>
  <c r="I27" i="5"/>
  <c r="N6" i="5"/>
  <c r="I19" i="39"/>
  <c r="N6" i="39"/>
  <c r="I22" i="29"/>
  <c r="N6" i="29"/>
  <c r="I27" i="3"/>
  <c r="N6" i="3"/>
  <c r="N5" i="40"/>
  <c r="I18" i="42"/>
  <c r="N6" i="42"/>
  <c r="B23" i="28"/>
  <c r="B22" i="30"/>
  <c r="N5" i="23"/>
  <c r="N5" i="28"/>
  <c r="I26" i="22"/>
  <c r="N6" i="22"/>
  <c r="N5" i="30"/>
  <c r="N5" i="25"/>
  <c r="B25" i="24"/>
  <c r="I25" i="23"/>
  <c r="N6" i="23"/>
  <c r="N6" i="41"/>
  <c r="I18" i="41"/>
  <c r="N5" i="4"/>
  <c r="N5" i="45"/>
  <c r="N6" i="43"/>
  <c r="I17" i="43"/>
  <c r="I30" i="7"/>
  <c r="N6" i="7"/>
  <c r="N5" i="8"/>
  <c r="N5" i="11"/>
  <c r="B20" i="39"/>
  <c r="N5" i="29"/>
  <c r="N5" i="3"/>
  <c r="B19" i="40"/>
  <c r="B19" i="42"/>
  <c r="B32" i="10"/>
  <c r="N5" i="38"/>
  <c r="N5" i="22"/>
  <c r="N5" i="31"/>
  <c r="B28" i="4"/>
  <c r="B18" i="43"/>
  <c r="B29" i="6"/>
  <c r="B27" i="25"/>
  <c r="N5" i="24"/>
  <c r="B26" i="23"/>
  <c r="I27" i="4"/>
  <c r="N6" i="4"/>
  <c r="N6" i="45"/>
  <c r="B21" i="37"/>
  <c r="B31" i="7"/>
  <c r="N5" i="6"/>
  <c r="B29" i="8"/>
  <c r="B30" i="11"/>
  <c r="N7" i="9"/>
  <c r="N5" i="5"/>
  <c r="N5" i="39"/>
  <c r="B23" i="29"/>
  <c r="B28" i="3"/>
  <c r="I18" i="40"/>
  <c r="N6" i="40"/>
  <c r="N5" i="42"/>
  <c r="I31" i="10"/>
  <c r="I22" i="28"/>
  <c r="N6" i="28"/>
  <c r="B20" i="38"/>
  <c r="B27" i="22"/>
  <c r="I22" i="31"/>
  <c r="N6" i="31"/>
  <c r="N6" i="30"/>
  <c r="I21" i="30"/>
  <c r="F59" i="2"/>
  <c r="F79" i="2" s="1"/>
  <c r="F80" i="2" s="1"/>
  <c r="F82" i="2" s="1"/>
  <c r="F76" i="2"/>
  <c r="F77" i="2" s="1"/>
  <c r="F31" i="17"/>
  <c r="F24" i="17"/>
  <c r="F43" i="17"/>
  <c r="F62" i="1" l="1"/>
  <c r="F65" i="1" s="1"/>
  <c r="F67" i="1" s="1"/>
  <c r="F69" i="1" s="1"/>
  <c r="F70" i="1" s="1"/>
  <c r="F71" i="1" s="1"/>
  <c r="F56" i="1" s="1"/>
  <c r="F57" i="1" s="1"/>
  <c r="F59" i="1" s="1"/>
  <c r="F79" i="1" s="1"/>
  <c r="F80" i="1" s="1"/>
  <c r="F82" i="1" s="1"/>
  <c r="E102" i="13"/>
  <c r="F102" i="13" s="1"/>
  <c r="G102" i="13" s="1"/>
  <c r="B20" i="45"/>
  <c r="N7" i="45"/>
  <c r="G43" i="17"/>
  <c r="N7" i="41"/>
  <c r="I19" i="13"/>
  <c r="E20" i="13"/>
  <c r="F20" i="13" s="1"/>
  <c r="B20" i="13"/>
  <c r="G31" i="17"/>
  <c r="I18" i="43"/>
  <c r="I20" i="38"/>
  <c r="I20" i="39"/>
  <c r="N7" i="23"/>
  <c r="N7" i="4"/>
  <c r="N7" i="31"/>
  <c r="N7" i="40"/>
  <c r="N7" i="30"/>
  <c r="N7" i="7"/>
  <c r="N7" i="29"/>
  <c r="N7" i="25"/>
  <c r="G24" i="17"/>
  <c r="I19" i="46"/>
  <c r="N7" i="46"/>
  <c r="N7" i="3"/>
  <c r="N7" i="24"/>
  <c r="N7" i="38"/>
  <c r="N7" i="22"/>
  <c r="N7" i="5"/>
  <c r="N7" i="11"/>
  <c r="N7" i="8"/>
  <c r="N7" i="6"/>
  <c r="B31" i="9"/>
  <c r="N7" i="42"/>
  <c r="N7" i="28"/>
  <c r="I30" i="9"/>
  <c r="N7" i="43"/>
  <c r="B20" i="46"/>
  <c r="N7" i="39"/>
  <c r="F27" i="17"/>
  <c r="F21" i="17"/>
  <c r="F23" i="17"/>
  <c r="F30" i="17"/>
  <c r="F19" i="17"/>
  <c r="F42" i="17"/>
  <c r="F35" i="17"/>
  <c r="F26" i="17"/>
  <c r="F44" i="17"/>
  <c r="F20" i="17"/>
  <c r="F29" i="17"/>
  <c r="F18" i="17"/>
  <c r="F22" i="17"/>
  <c r="F33" i="17"/>
  <c r="F37" i="17"/>
  <c r="F32" i="17"/>
  <c r="F39" i="17"/>
  <c r="F45" i="17"/>
  <c r="F38" i="17"/>
  <c r="F41" i="17"/>
  <c r="F28" i="17"/>
  <c r="F34" i="17"/>
  <c r="F40" i="17"/>
  <c r="D103" i="13" l="1"/>
  <c r="E103" i="13" s="1"/>
  <c r="F103" i="13" s="1"/>
  <c r="I20" i="45"/>
  <c r="G45" i="17"/>
  <c r="G44" i="17"/>
  <c r="G42" i="17"/>
  <c r="G40" i="17"/>
  <c r="I20" i="44"/>
  <c r="B21" i="44"/>
  <c r="I20" i="46"/>
  <c r="D21" i="13"/>
  <c r="H20" i="13"/>
  <c r="G20" i="13"/>
  <c r="B25" i="27"/>
  <c r="I24" i="27"/>
  <c r="G28" i="17"/>
  <c r="G34" i="17"/>
  <c r="G39" i="17"/>
  <c r="G35" i="17"/>
  <c r="G22" i="17"/>
  <c r="G19" i="17"/>
  <c r="G30" i="17"/>
  <c r="G33" i="17"/>
  <c r="G41" i="17"/>
  <c r="G23" i="17"/>
  <c r="G29" i="17"/>
  <c r="G21" i="17"/>
  <c r="G38" i="17"/>
  <c r="G26" i="17"/>
  <c r="G27" i="17"/>
  <c r="G18" i="17"/>
  <c r="G32" i="17"/>
  <c r="G20" i="17"/>
  <c r="G37" i="17"/>
  <c r="B20" i="41"/>
  <c r="B24" i="29"/>
  <c r="I31" i="7"/>
  <c r="I29" i="8"/>
  <c r="B29" i="5"/>
  <c r="B33" i="10"/>
  <c r="B26" i="24"/>
  <c r="I27" i="25"/>
  <c r="I26" i="23"/>
  <c r="I30" i="11"/>
  <c r="B30" i="6"/>
  <c r="I23" i="28"/>
  <c r="I22" i="30"/>
  <c r="I28" i="4"/>
  <c r="B30" i="8"/>
  <c r="B28" i="22"/>
  <c r="I19" i="41"/>
  <c r="B19" i="43"/>
  <c r="I23" i="31"/>
  <c r="I28" i="3"/>
  <c r="I19" i="42"/>
  <c r="I25" i="24"/>
  <c r="B24" i="31"/>
  <c r="B21" i="39"/>
  <c r="B27" i="23"/>
  <c r="B23" i="30"/>
  <c r="B20" i="42"/>
  <c r="B29" i="4"/>
  <c r="B32" i="7"/>
  <c r="B22" i="37"/>
  <c r="I28" i="5"/>
  <c r="I32" i="10"/>
  <c r="B28" i="25"/>
  <c r="B31" i="11"/>
  <c r="B20" i="40"/>
  <c r="I29" i="6"/>
  <c r="I23" i="29"/>
  <c r="B24" i="28"/>
  <c r="B29" i="3"/>
  <c r="B21" i="38"/>
  <c r="I27" i="22"/>
  <c r="I19" i="40"/>
  <c r="I21" i="37"/>
  <c r="I102" i="13"/>
  <c r="H102" i="13"/>
  <c r="B103" i="13" l="1"/>
  <c r="B21" i="45"/>
  <c r="I20" i="13"/>
  <c r="E21" i="13"/>
  <c r="F21" i="13" s="1"/>
  <c r="G21" i="13" s="1"/>
  <c r="B21" i="13"/>
  <c r="I20" i="42"/>
  <c r="I20" i="40"/>
  <c r="I20" i="41"/>
  <c r="B32" i="9"/>
  <c r="I22" i="37"/>
  <c r="I31" i="9"/>
  <c r="G103" i="13"/>
  <c r="D104" i="13"/>
  <c r="E104" i="13" s="1"/>
  <c r="J102" i="13"/>
  <c r="B22" i="44" l="1"/>
  <c r="I21" i="44"/>
  <c r="H21" i="13"/>
  <c r="D22" i="13"/>
  <c r="I25" i="27"/>
  <c r="B26" i="27"/>
  <c r="B31" i="6"/>
  <c r="B25" i="31"/>
  <c r="B25" i="28"/>
  <c r="I21" i="45"/>
  <c r="I30" i="6"/>
  <c r="I28" i="22"/>
  <c r="I24" i="31"/>
  <c r="I29" i="4"/>
  <c r="B30" i="3"/>
  <c r="I30" i="8"/>
  <c r="B22" i="39"/>
  <c r="B23" i="37"/>
  <c r="B30" i="4"/>
  <c r="I28" i="25"/>
  <c r="B21" i="40"/>
  <c r="B22" i="45"/>
  <c r="B24" i="30"/>
  <c r="B21" i="41"/>
  <c r="B34" i="10"/>
  <c r="B27" i="24"/>
  <c r="I21" i="39"/>
  <c r="B28" i="23"/>
  <c r="B21" i="42"/>
  <c r="I24" i="29"/>
  <c r="I31" i="11"/>
  <c r="B22" i="38"/>
  <c r="B29" i="22"/>
  <c r="B33" i="7"/>
  <c r="I21" i="38"/>
  <c r="I27" i="23"/>
  <c r="B25" i="29"/>
  <c r="I19" i="43"/>
  <c r="B32" i="11"/>
  <c r="I29" i="5"/>
  <c r="B30" i="5"/>
  <c r="I32" i="7"/>
  <c r="B29" i="25"/>
  <c r="I23" i="30"/>
  <c r="I33" i="10"/>
  <c r="I26" i="24"/>
  <c r="B20" i="43"/>
  <c r="I24" i="28"/>
  <c r="I29" i="3"/>
  <c r="B31" i="8"/>
  <c r="I103" i="13"/>
  <c r="H103" i="13"/>
  <c r="F104" i="13"/>
  <c r="B104" i="13"/>
  <c r="I21" i="13" l="1"/>
  <c r="B22" i="13"/>
  <c r="E22" i="13"/>
  <c r="F22" i="13" s="1"/>
  <c r="I22" i="39"/>
  <c r="I21" i="41"/>
  <c r="I22" i="38"/>
  <c r="I20" i="43"/>
  <c r="I21" i="42"/>
  <c r="I21" i="40"/>
  <c r="B33" i="9"/>
  <c r="I32" i="9"/>
  <c r="I23" i="37"/>
  <c r="J103" i="13"/>
  <c r="G104" i="13"/>
  <c r="D105" i="13"/>
  <c r="E105" i="13" s="1"/>
  <c r="G22" i="13" l="1"/>
  <c r="H22" i="13"/>
  <c r="D23" i="13"/>
  <c r="B23" i="13" s="1"/>
  <c r="I26" i="27"/>
  <c r="B27" i="27"/>
  <c r="B28" i="24"/>
  <c r="I32" i="11"/>
  <c r="B26" i="29"/>
  <c r="B22" i="42"/>
  <c r="B30" i="25"/>
  <c r="B32" i="8"/>
  <c r="B22" i="40"/>
  <c r="B35" i="10"/>
  <c r="B21" i="43"/>
  <c r="B32" i="6"/>
  <c r="B24" i="37"/>
  <c r="B26" i="28"/>
  <c r="B25" i="30"/>
  <c r="I28" i="23"/>
  <c r="B23" i="38"/>
  <c r="B31" i="5"/>
  <c r="I34" i="10"/>
  <c r="I30" i="4"/>
  <c r="B33" i="11"/>
  <c r="I31" i="6"/>
  <c r="B26" i="31"/>
  <c r="B23" i="39"/>
  <c r="I29" i="22"/>
  <c r="I31" i="8"/>
  <c r="I33" i="7"/>
  <c r="B31" i="3"/>
  <c r="I25" i="31"/>
  <c r="B30" i="22"/>
  <c r="I24" i="30"/>
  <c r="B29" i="23"/>
  <c r="I29" i="25"/>
  <c r="I27" i="24"/>
  <c r="I30" i="5"/>
  <c r="B22" i="41"/>
  <c r="B34" i="7"/>
  <c r="I30" i="3"/>
  <c r="B31" i="4"/>
  <c r="I25" i="28"/>
  <c r="I25" i="29"/>
  <c r="H104" i="13"/>
  <c r="I104" i="13"/>
  <c r="B105" i="13"/>
  <c r="F105" i="13"/>
  <c r="E23" i="13" l="1"/>
  <c r="F23" i="13" s="1"/>
  <c r="H23" i="13" s="1"/>
  <c r="I21" i="43"/>
  <c r="I23" i="38"/>
  <c r="I22" i="13"/>
  <c r="I22" i="40"/>
  <c r="B34" i="9"/>
  <c r="I33" i="9"/>
  <c r="J104" i="13"/>
  <c r="G105" i="13"/>
  <c r="D106" i="13"/>
  <c r="E106" i="13" s="1"/>
  <c r="G23" i="13" l="1"/>
  <c r="D24" i="13"/>
  <c r="I27" i="27"/>
  <c r="I23" i="39"/>
  <c r="B27" i="28"/>
  <c r="B23" i="41"/>
  <c r="I32" i="6"/>
  <c r="B35" i="7"/>
  <c r="B34" i="11"/>
  <c r="B31" i="22"/>
  <c r="B33" i="8"/>
  <c r="B22" i="43"/>
  <c r="I26" i="31"/>
  <c r="B31" i="25"/>
  <c r="B32" i="5"/>
  <c r="I30" i="25"/>
  <c r="B32" i="4"/>
  <c r="I28" i="24"/>
  <c r="B27" i="29"/>
  <c r="B23" i="42"/>
  <c r="I32" i="8"/>
  <c r="B32" i="3"/>
  <c r="B30" i="23"/>
  <c r="I34" i="7"/>
  <c r="B24" i="39"/>
  <c r="B26" i="30"/>
  <c r="B29" i="24"/>
  <c r="B23" i="40"/>
  <c r="I26" i="28"/>
  <c r="I25" i="30"/>
  <c r="I31" i="5"/>
  <c r="I33" i="11"/>
  <c r="I30" i="22"/>
  <c r="I22" i="41"/>
  <c r="I31" i="4"/>
  <c r="I26" i="29"/>
  <c r="B33" i="6"/>
  <c r="B24" i="38"/>
  <c r="B27" i="31"/>
  <c r="I31" i="3"/>
  <c r="I29" i="23"/>
  <c r="I105" i="13"/>
  <c r="H105" i="13"/>
  <c r="B106" i="13"/>
  <c r="F106" i="13"/>
  <c r="I23" i="13" l="1"/>
  <c r="B24" i="13"/>
  <c r="E24" i="13"/>
  <c r="F24" i="13" s="1"/>
  <c r="H24" i="13" s="1"/>
  <c r="I22" i="43"/>
  <c r="D107" i="13"/>
  <c r="E107" i="13" s="1"/>
  <c r="G106" i="13"/>
  <c r="J105" i="13"/>
  <c r="D25" i="13" l="1"/>
  <c r="G24" i="13"/>
  <c r="B23" i="43"/>
  <c r="H106" i="13"/>
  <c r="I106" i="13"/>
  <c r="F107" i="13"/>
  <c r="B107" i="13"/>
  <c r="I24" i="13" l="1"/>
  <c r="B25" i="13"/>
  <c r="E25" i="13"/>
  <c r="F25" i="13" s="1"/>
  <c r="J106" i="13"/>
  <c r="G107" i="13"/>
  <c r="D108" i="13"/>
  <c r="E108" i="13" s="1"/>
  <c r="D26" i="13" l="1"/>
  <c r="H25" i="13"/>
  <c r="N6" i="13" s="1"/>
  <c r="G25" i="13"/>
  <c r="N5" i="13" s="1"/>
  <c r="H107" i="13"/>
  <c r="I107" i="13"/>
  <c r="B108" i="13"/>
  <c r="F108" i="13"/>
  <c r="N7" i="13" l="1"/>
  <c r="I25" i="13"/>
  <c r="E26" i="13"/>
  <c r="F26" i="13" s="1"/>
  <c r="B26" i="13"/>
  <c r="J107" i="13"/>
  <c r="G108" i="13"/>
  <c r="D109" i="13"/>
  <c r="E109" i="13" s="1"/>
  <c r="G26" i="13" l="1"/>
  <c r="D27" i="13"/>
  <c r="H26" i="13"/>
  <c r="I108" i="13"/>
  <c r="H108" i="13"/>
  <c r="F109" i="13"/>
  <c r="B109" i="13"/>
  <c r="I26" i="13" l="1"/>
  <c r="E27" i="13"/>
  <c r="F27" i="13" s="1"/>
  <c r="B27" i="13"/>
  <c r="G109" i="13"/>
  <c r="D110" i="13"/>
  <c r="E110" i="13" s="1"/>
  <c r="J108" i="13"/>
  <c r="D28" i="13" l="1"/>
  <c r="H27" i="13"/>
  <c r="G27" i="13"/>
  <c r="F110" i="13"/>
  <c r="B110" i="13"/>
  <c r="H109" i="13"/>
  <c r="M88" i="13" s="1"/>
  <c r="M89" i="13" s="1"/>
  <c r="I109" i="13"/>
  <c r="N88" i="13" s="1"/>
  <c r="O88" i="13" l="1"/>
  <c r="O89" i="13" s="1"/>
  <c r="N89" i="13"/>
  <c r="I27" i="13"/>
  <c r="B28" i="13"/>
  <c r="E28" i="13"/>
  <c r="F28" i="13" s="1"/>
  <c r="J109" i="13"/>
  <c r="G110" i="13"/>
  <c r="D111" i="13"/>
  <c r="E111" i="13" s="1"/>
  <c r="H28" i="13" l="1"/>
  <c r="D29" i="13"/>
  <c r="G28" i="13"/>
  <c r="H110" i="13"/>
  <c r="I110" i="13"/>
  <c r="B111" i="13"/>
  <c r="F111" i="13"/>
  <c r="I28" i="13" l="1"/>
  <c r="E29" i="13"/>
  <c r="F29" i="13" s="1"/>
  <c r="B29" i="13"/>
  <c r="J110" i="13"/>
  <c r="G111" i="13"/>
  <c r="D112" i="13"/>
  <c r="E112" i="13" s="1"/>
  <c r="D30" i="13" l="1"/>
  <c r="G29" i="13"/>
  <c r="H29" i="13"/>
  <c r="B112" i="13"/>
  <c r="F112" i="13"/>
  <c r="I111" i="13"/>
  <c r="H111" i="13"/>
  <c r="I29" i="13" l="1"/>
  <c r="E30" i="13"/>
  <c r="F30" i="13" s="1"/>
  <c r="B30" i="13"/>
  <c r="J111" i="13"/>
  <c r="G112" i="13"/>
  <c r="D113" i="13"/>
  <c r="E113" i="13" s="1"/>
  <c r="H30" i="13" l="1"/>
  <c r="D31" i="13"/>
  <c r="G30" i="13"/>
  <c r="I112" i="13"/>
  <c r="H112" i="13"/>
  <c r="B113" i="13"/>
  <c r="F113" i="13"/>
  <c r="I30" i="13" l="1"/>
  <c r="E31" i="13"/>
  <c r="F31" i="13" s="1"/>
  <c r="B31" i="13"/>
  <c r="J112" i="13"/>
  <c r="G113" i="13"/>
  <c r="D114" i="13"/>
  <c r="H31" i="13" l="1"/>
  <c r="G31" i="13"/>
  <c r="D32" i="13"/>
  <c r="B114" i="13"/>
  <c r="H113" i="13"/>
  <c r="I113" i="13"/>
  <c r="E114" i="13"/>
  <c r="F114" i="13" s="1"/>
  <c r="I31" i="13" l="1"/>
  <c r="E32" i="13"/>
  <c r="F32" i="13" s="1"/>
  <c r="B32" i="13"/>
  <c r="J113" i="13"/>
  <c r="G114" i="13"/>
  <c r="D115" i="13"/>
  <c r="E115" i="13" s="1"/>
  <c r="H32" i="13" l="1"/>
  <c r="D33" i="13"/>
  <c r="G32" i="13"/>
  <c r="B115" i="13"/>
  <c r="F115" i="13"/>
  <c r="H114" i="13"/>
  <c r="I114" i="13"/>
  <c r="I32" i="13" l="1"/>
  <c r="E33" i="13"/>
  <c r="F33" i="13" s="1"/>
  <c r="B33" i="13"/>
  <c r="D116" i="13"/>
  <c r="G115" i="13"/>
  <c r="J114" i="13"/>
  <c r="G33" i="13" l="1"/>
  <c r="H33" i="13"/>
  <c r="D34" i="13"/>
  <c r="H115" i="13"/>
  <c r="I115" i="13"/>
  <c r="B116" i="13"/>
  <c r="E116" i="13"/>
  <c r="F116" i="13" s="1"/>
  <c r="I33" i="13" l="1"/>
  <c r="E34" i="13"/>
  <c r="F34" i="13" s="1"/>
  <c r="B34" i="13"/>
  <c r="J115" i="13"/>
  <c r="G116" i="13"/>
  <c r="D117" i="13"/>
  <c r="E117" i="13" s="1"/>
  <c r="G34" i="13" l="1"/>
  <c r="H34" i="13"/>
  <c r="D35" i="13"/>
  <c r="I116" i="13"/>
  <c r="H116" i="13"/>
  <c r="B117" i="13"/>
  <c r="F117" i="13"/>
  <c r="I34" i="13" l="1"/>
  <c r="B35" i="13"/>
  <c r="E35" i="13"/>
  <c r="F35" i="13" s="1"/>
  <c r="H35" i="13" s="1"/>
  <c r="G117" i="13"/>
  <c r="D118" i="13"/>
  <c r="E118" i="13" s="1"/>
  <c r="J116" i="13"/>
  <c r="D36" i="13" l="1"/>
  <c r="G35" i="13"/>
  <c r="I35" i="13" s="1"/>
  <c r="F118" i="13"/>
  <c r="B118" i="13"/>
  <c r="H117" i="13"/>
  <c r="I117" i="13"/>
  <c r="E36" i="13" l="1"/>
  <c r="F36" i="13" s="1"/>
  <c r="B36" i="13"/>
  <c r="J117" i="13"/>
  <c r="G118" i="13"/>
  <c r="D119" i="13"/>
  <c r="G36" i="13" l="1"/>
  <c r="H36" i="13"/>
  <c r="D37" i="13"/>
  <c r="B119" i="13"/>
  <c r="E119" i="13"/>
  <c r="F119" i="13" s="1"/>
  <c r="H118" i="13"/>
  <c r="I118" i="13"/>
  <c r="I36" i="13" l="1"/>
  <c r="E37" i="13"/>
  <c r="F37" i="13" s="1"/>
  <c r="B37" i="13"/>
  <c r="J118" i="13"/>
  <c r="D120" i="13"/>
  <c r="G119" i="13"/>
  <c r="G37" i="13" l="1"/>
  <c r="D38" i="13"/>
  <c r="H37" i="13"/>
  <c r="H119" i="13"/>
  <c r="I119" i="13"/>
  <c r="B120" i="13"/>
  <c r="E120" i="13"/>
  <c r="F120" i="13" s="1"/>
  <c r="I37" i="13" l="1"/>
  <c r="E38" i="13"/>
  <c r="F38" i="13" s="1"/>
  <c r="B38" i="13"/>
  <c r="J119" i="13"/>
  <c r="G120" i="13"/>
  <c r="D121" i="13"/>
  <c r="G38" i="13" l="1"/>
  <c r="D39" i="13"/>
  <c r="H38" i="13"/>
  <c r="B121" i="13"/>
  <c r="I120" i="13"/>
  <c r="H120" i="13"/>
  <c r="E121" i="13"/>
  <c r="F121" i="13" s="1"/>
  <c r="I38" i="13" l="1"/>
  <c r="E39" i="13"/>
  <c r="F39" i="13" s="1"/>
  <c r="B39" i="13"/>
  <c r="J120" i="13"/>
  <c r="D122" i="13"/>
  <c r="E122" i="13" s="1"/>
  <c r="G121" i="13"/>
  <c r="D40" i="13" l="1"/>
  <c r="H39" i="13"/>
  <c r="G39" i="13"/>
  <c r="H121" i="13"/>
  <c r="I121" i="13"/>
  <c r="F122" i="13"/>
  <c r="B122" i="13"/>
  <c r="I39" i="13" l="1"/>
  <c r="E40" i="13"/>
  <c r="F40" i="13" s="1"/>
  <c r="B40" i="13"/>
  <c r="J121" i="13"/>
  <c r="D123" i="13"/>
  <c r="E123" i="13" s="1"/>
  <c r="G122" i="13"/>
  <c r="H40" i="13" l="1"/>
  <c r="G40" i="13"/>
  <c r="D41" i="13"/>
  <c r="I122" i="13"/>
  <c r="H122" i="13"/>
  <c r="F123" i="13"/>
  <c r="B123" i="13"/>
  <c r="I40" i="13" l="1"/>
  <c r="E41" i="13"/>
  <c r="F41" i="13" s="1"/>
  <c r="B41" i="13"/>
  <c r="G123" i="13"/>
  <c r="D124" i="13"/>
  <c r="J122" i="13"/>
  <c r="G41" i="13" l="1"/>
  <c r="H41" i="13"/>
  <c r="D42" i="13"/>
  <c r="H123" i="13"/>
  <c r="I123" i="13"/>
  <c r="B124" i="13"/>
  <c r="E124" i="13"/>
  <c r="F124" i="13" s="1"/>
  <c r="I41" i="13" l="1"/>
  <c r="B42" i="13"/>
  <c r="E42" i="13"/>
  <c r="F42" i="13" s="1"/>
  <c r="J123" i="13"/>
  <c r="G124" i="13"/>
  <c r="D125" i="13"/>
  <c r="E125" i="13" s="1"/>
  <c r="G42" i="13" l="1"/>
  <c r="D43" i="13"/>
  <c r="H42" i="13"/>
  <c r="B125" i="13"/>
  <c r="F125" i="13"/>
  <c r="I124" i="13"/>
  <c r="H124" i="13"/>
  <c r="I42" i="13" l="1"/>
  <c r="B43" i="13"/>
  <c r="E43" i="13"/>
  <c r="F43" i="13" s="1"/>
  <c r="D126" i="13"/>
  <c r="G125" i="13"/>
  <c r="J124" i="13"/>
  <c r="G43" i="13" l="1"/>
  <c r="H43" i="13"/>
  <c r="D44" i="13"/>
  <c r="I125" i="13"/>
  <c r="H125" i="13"/>
  <c r="B126" i="13"/>
  <c r="E126" i="13"/>
  <c r="F126" i="13" s="1"/>
  <c r="I43" i="13" l="1"/>
  <c r="B44" i="13"/>
  <c r="E44" i="13"/>
  <c r="F44" i="13" s="1"/>
  <c r="J125" i="13"/>
  <c r="D127" i="13"/>
  <c r="G126" i="13"/>
  <c r="G44" i="13" l="1"/>
  <c r="H44" i="13"/>
  <c r="D45" i="13"/>
  <c r="B127" i="13"/>
  <c r="H126" i="13"/>
  <c r="I126" i="13"/>
  <c r="E127" i="13"/>
  <c r="F127" i="13" s="1"/>
  <c r="I44" i="13" l="1"/>
  <c r="E45" i="13"/>
  <c r="F45" i="13" s="1"/>
  <c r="D46" i="13" s="1"/>
  <c r="E46" i="13" s="1"/>
  <c r="B45" i="13"/>
  <c r="J126" i="13"/>
  <c r="G127" i="13"/>
  <c r="D128" i="13"/>
  <c r="E128" i="13" s="1"/>
  <c r="B46" i="13" l="1"/>
  <c r="F46" i="13"/>
  <c r="G46" i="13" s="1"/>
  <c r="G45" i="13"/>
  <c r="H45" i="13"/>
  <c r="F128" i="13"/>
  <c r="B128" i="13"/>
  <c r="H127" i="13"/>
  <c r="I127" i="13"/>
  <c r="D47" i="13" l="1"/>
  <c r="E47" i="13" s="1"/>
  <c r="H46" i="13"/>
  <c r="I46" i="13" s="1"/>
  <c r="I45" i="13"/>
  <c r="J127" i="13"/>
  <c r="G128" i="13"/>
  <c r="D129" i="13"/>
  <c r="E129" i="13" s="1"/>
  <c r="F47" i="13" l="1"/>
  <c r="G47" i="13" s="1"/>
  <c r="B47" i="13"/>
  <c r="F129" i="13"/>
  <c r="B129" i="13"/>
  <c r="H128" i="13"/>
  <c r="I128" i="13"/>
  <c r="H47" i="13" l="1"/>
  <c r="I47" i="13" s="1"/>
  <c r="D48" i="13"/>
  <c r="E48" i="13" s="1"/>
  <c r="J128" i="13"/>
  <c r="G129" i="13"/>
  <c r="D130" i="13"/>
  <c r="E130" i="13" s="1"/>
  <c r="B48" i="13" l="1"/>
  <c r="F48" i="13"/>
  <c r="G48" i="13" s="1"/>
  <c r="B130" i="13"/>
  <c r="F130" i="13"/>
  <c r="H129" i="13"/>
  <c r="I129" i="13"/>
  <c r="H48" i="13" l="1"/>
  <c r="I48" i="13" s="1"/>
  <c r="D49" i="13"/>
  <c r="E49" i="13" s="1"/>
  <c r="J129" i="13"/>
  <c r="G130" i="13"/>
  <c r="D131" i="13"/>
  <c r="F49" i="13" l="1"/>
  <c r="G49" i="13" s="1"/>
  <c r="B49" i="13"/>
  <c r="H130" i="13"/>
  <c r="I130" i="13"/>
  <c r="B131" i="13"/>
  <c r="E131" i="13"/>
  <c r="F131" i="13" s="1"/>
  <c r="H49" i="13" l="1"/>
  <c r="I49" i="13" s="1"/>
  <c r="D50" i="13"/>
  <c r="B50" i="13" s="1"/>
  <c r="J130" i="13"/>
  <c r="J155" i="13" s="1"/>
  <c r="G131" i="13"/>
  <c r="D132" i="13"/>
  <c r="E50" i="13" l="1"/>
  <c r="F50" i="13" s="1"/>
  <c r="G50" i="13" s="1"/>
  <c r="B132" i="13"/>
  <c r="I131" i="13"/>
  <c r="H131" i="13"/>
  <c r="E132" i="13"/>
  <c r="F132" i="13" s="1"/>
  <c r="H50" i="13" l="1"/>
  <c r="I50" i="13" s="1"/>
  <c r="D51" i="13"/>
  <c r="E51" i="13" s="1"/>
  <c r="D133" i="13"/>
  <c r="E133" i="13" s="1"/>
  <c r="G132" i="13"/>
  <c r="F51" i="13" l="1"/>
  <c r="G51" i="13" s="1"/>
  <c r="B51" i="13"/>
  <c r="B133" i="13"/>
  <c r="F133" i="13"/>
  <c r="I132" i="13"/>
  <c r="H132" i="13"/>
  <c r="H51" i="13" l="1"/>
  <c r="I51" i="13" s="1"/>
  <c r="D52" i="13"/>
  <c r="B52" i="13" s="1"/>
  <c r="G133" i="13"/>
  <c r="D134" i="13"/>
  <c r="E52" i="13" l="1"/>
  <c r="F52" i="13" s="1"/>
  <c r="G52" i="13" s="1"/>
  <c r="B134" i="13"/>
  <c r="E134" i="13"/>
  <c r="F134" i="13" s="1"/>
  <c r="H133" i="13"/>
  <c r="I133" i="13"/>
  <c r="H52" i="13" l="1"/>
  <c r="I52" i="13" s="1"/>
  <c r="D53" i="13"/>
  <c r="E53" i="13" s="1"/>
  <c r="D135" i="13"/>
  <c r="G134" i="13"/>
  <c r="B53" i="13" l="1"/>
  <c r="F53" i="13"/>
  <c r="H53" i="13" s="1"/>
  <c r="B135" i="13"/>
  <c r="I134" i="13"/>
  <c r="H134" i="13"/>
  <c r="E135" i="13"/>
  <c r="F135" i="13" s="1"/>
  <c r="G53" i="13" l="1"/>
  <c r="I53" i="13" s="1"/>
  <c r="D54" i="13"/>
  <c r="E54" i="13" s="1"/>
  <c r="F54" i="13" s="1"/>
  <c r="H54" i="13" s="1"/>
  <c r="G135" i="13"/>
  <c r="D136" i="13"/>
  <c r="B54" i="13" l="1"/>
  <c r="D55" i="13"/>
  <c r="E55" i="13" s="1"/>
  <c r="G54" i="13"/>
  <c r="I54" i="13" s="1"/>
  <c r="B136" i="13"/>
  <c r="E136" i="13"/>
  <c r="F136" i="13" s="1"/>
  <c r="H135" i="13"/>
  <c r="I135" i="13"/>
  <c r="B55" i="13" l="1"/>
  <c r="F55" i="13"/>
  <c r="G55" i="13" s="1"/>
  <c r="G136" i="13"/>
  <c r="D137" i="13"/>
  <c r="H55" i="13" l="1"/>
  <c r="I55" i="13" s="1"/>
  <c r="D56" i="13"/>
  <c r="E56" i="13" s="1"/>
  <c r="B137" i="13"/>
  <c r="H136" i="13"/>
  <c r="I136" i="13"/>
  <c r="E137" i="13"/>
  <c r="F137" i="13" s="1"/>
  <c r="B56" i="13" l="1"/>
  <c r="F56" i="13"/>
  <c r="H56" i="13" s="1"/>
  <c r="G137" i="13"/>
  <c r="D138" i="13"/>
  <c r="G56" i="13" l="1"/>
  <c r="I56" i="13" s="1"/>
  <c r="D57" i="13"/>
  <c r="E57" i="13" s="1"/>
  <c r="B138" i="13"/>
  <c r="H137" i="13"/>
  <c r="I137" i="13"/>
  <c r="E138" i="13"/>
  <c r="F138" i="13" s="1"/>
  <c r="F57" i="13" l="1"/>
  <c r="H57" i="13" s="1"/>
  <c r="B57" i="13"/>
  <c r="G138" i="13"/>
  <c r="D139" i="13"/>
  <c r="E139" i="13" s="1"/>
  <c r="D58" i="13" l="1"/>
  <c r="G57" i="13"/>
  <c r="I57" i="13" s="1"/>
  <c r="I138" i="13"/>
  <c r="H138" i="13"/>
  <c r="B139" i="13"/>
  <c r="F139" i="13"/>
  <c r="B58" i="13" l="1"/>
  <c r="E58" i="13"/>
  <c r="F58" i="13" s="1"/>
  <c r="G139" i="13"/>
  <c r="D140" i="13"/>
  <c r="E140" i="13" s="1"/>
  <c r="D59" i="13" l="1"/>
  <c r="E59" i="13" s="1"/>
  <c r="G58" i="13"/>
  <c r="H58" i="13"/>
  <c r="H139" i="13"/>
  <c r="I139" i="13"/>
  <c r="F140" i="13"/>
  <c r="B140" i="13"/>
  <c r="I58" i="13" l="1"/>
  <c r="B59" i="13"/>
  <c r="F59" i="13"/>
  <c r="G59" i="13" s="1"/>
  <c r="D141" i="13"/>
  <c r="G140" i="13"/>
  <c r="H59" i="13" l="1"/>
  <c r="I59" i="13" s="1"/>
  <c r="D60" i="13"/>
  <c r="E60" i="13" s="1"/>
  <c r="B141" i="13"/>
  <c r="H140" i="13"/>
  <c r="I140" i="13"/>
  <c r="E141" i="13"/>
  <c r="F141" i="13" s="1"/>
  <c r="B60" i="13" l="1"/>
  <c r="F60" i="13"/>
  <c r="H60" i="13" s="1"/>
  <c r="G141" i="13"/>
  <c r="D142" i="13"/>
  <c r="E142" i="13" s="1"/>
  <c r="D61" i="13" l="1"/>
  <c r="E61" i="13" s="1"/>
  <c r="G60" i="13"/>
  <c r="I60" i="13" s="1"/>
  <c r="I141" i="13"/>
  <c r="H141" i="13"/>
  <c r="B142" i="13"/>
  <c r="F142" i="13"/>
  <c r="F61" i="13" l="1"/>
  <c r="H61" i="13" s="1"/>
  <c r="B61" i="13"/>
  <c r="D143" i="13"/>
  <c r="E143" i="13" s="1"/>
  <c r="G142" i="13"/>
  <c r="G61" i="13" l="1"/>
  <c r="I61" i="13" s="1"/>
  <c r="D62" i="13"/>
  <c r="E62" i="13" s="1"/>
  <c r="I142" i="13"/>
  <c r="H142" i="13"/>
  <c r="B143" i="13"/>
  <c r="F143" i="13"/>
  <c r="F62" i="13" l="1"/>
  <c r="G62" i="13" s="1"/>
  <c r="B62" i="13"/>
  <c r="D144" i="13"/>
  <c r="G143" i="13"/>
  <c r="D63" i="13" l="1"/>
  <c r="E63" i="13" s="1"/>
  <c r="H62" i="13"/>
  <c r="I62" i="13" s="1"/>
  <c r="H143" i="13"/>
  <c r="I143" i="13"/>
  <c r="B144" i="13"/>
  <c r="E144" i="13"/>
  <c r="F144" i="13" s="1"/>
  <c r="B63" i="13" l="1"/>
  <c r="F63" i="13"/>
  <c r="G63" i="13" s="1"/>
  <c r="G144" i="13"/>
  <c r="D145" i="13"/>
  <c r="E145" i="13" s="1"/>
  <c r="H63" i="13" l="1"/>
  <c r="I63" i="13" s="1"/>
  <c r="D64" i="13"/>
  <c r="E64" i="13" s="1"/>
  <c r="F145" i="13"/>
  <c r="B145" i="13"/>
  <c r="H144" i="13"/>
  <c r="I144" i="13"/>
  <c r="F64" i="13" l="1"/>
  <c r="H64" i="13" s="1"/>
  <c r="B64" i="13"/>
  <c r="G145" i="13"/>
  <c r="D146" i="13"/>
  <c r="E146" i="13" s="1"/>
  <c r="D65" i="13" l="1"/>
  <c r="E65" i="13" s="1"/>
  <c r="G64" i="13"/>
  <c r="I64" i="13" s="1"/>
  <c r="H145" i="13"/>
  <c r="I145" i="13"/>
  <c r="B146" i="13"/>
  <c r="F146" i="13"/>
  <c r="F65" i="13" l="1"/>
  <c r="G65" i="13" s="1"/>
  <c r="B65" i="13"/>
  <c r="G146" i="13"/>
  <c r="D147" i="13"/>
  <c r="E147" i="13" s="1"/>
  <c r="H65" i="13" l="1"/>
  <c r="I65" i="13" s="1"/>
  <c r="D66" i="13"/>
  <c r="F147" i="13"/>
  <c r="B147" i="13"/>
  <c r="H146" i="13"/>
  <c r="I146" i="13"/>
  <c r="B66" i="13" l="1"/>
  <c r="E66" i="13"/>
  <c r="F66" i="13" s="1"/>
  <c r="D148" i="13"/>
  <c r="G147" i="13"/>
  <c r="D67" i="13" l="1"/>
  <c r="H66" i="13"/>
  <c r="G66" i="13"/>
  <c r="I147" i="13"/>
  <c r="H147" i="13"/>
  <c r="B148" i="13"/>
  <c r="E148" i="13"/>
  <c r="F148" i="13" s="1"/>
  <c r="I66" i="13" l="1"/>
  <c r="B67" i="13"/>
  <c r="E67" i="13"/>
  <c r="F67" i="13" s="1"/>
  <c r="D149" i="13"/>
  <c r="G148" i="13"/>
  <c r="D68" i="13" l="1"/>
  <c r="E68" i="13" s="1"/>
  <c r="G67" i="13"/>
  <c r="H67" i="13"/>
  <c r="B149" i="13"/>
  <c r="E149" i="13"/>
  <c r="F149" i="13" s="1"/>
  <c r="I148" i="13"/>
  <c r="H148" i="13"/>
  <c r="I67" i="13" l="1"/>
  <c r="F68" i="13"/>
  <c r="H68" i="13" s="1"/>
  <c r="B68" i="13"/>
  <c r="D150" i="13"/>
  <c r="G149" i="13"/>
  <c r="G68" i="13" l="1"/>
  <c r="I68" i="13" s="1"/>
  <c r="D69" i="13"/>
  <c r="E69" i="13" s="1"/>
  <c r="B150" i="13"/>
  <c r="H149" i="13"/>
  <c r="I149" i="13"/>
  <c r="E150" i="13"/>
  <c r="F150" i="13" s="1"/>
  <c r="B69" i="13" l="1"/>
  <c r="F69" i="13"/>
  <c r="G69" i="13" s="1"/>
  <c r="G150" i="13"/>
  <c r="D151" i="13"/>
  <c r="H69" i="13" l="1"/>
  <c r="I69" i="13" s="1"/>
  <c r="D70" i="13"/>
  <c r="B151" i="13"/>
  <c r="H150" i="13"/>
  <c r="I150" i="13"/>
  <c r="E151" i="13"/>
  <c r="F151" i="13" s="1"/>
  <c r="B70" i="13" l="1"/>
  <c r="E70" i="13"/>
  <c r="F70" i="13" s="1"/>
  <c r="D152" i="13"/>
  <c r="G151" i="13"/>
  <c r="D71" i="13" l="1"/>
  <c r="G70" i="13"/>
  <c r="H70" i="13"/>
  <c r="B152" i="13"/>
  <c r="H151" i="13"/>
  <c r="I151" i="13"/>
  <c r="E152" i="13"/>
  <c r="F152" i="13" s="1"/>
  <c r="I70" i="13" l="1"/>
  <c r="B71" i="13"/>
  <c r="E71" i="13"/>
  <c r="F71" i="13" s="1"/>
  <c r="D153" i="13"/>
  <c r="E153" i="13" s="1"/>
  <c r="G152" i="13"/>
  <c r="D72" i="13" l="1"/>
  <c r="G71" i="13"/>
  <c r="H71" i="13"/>
  <c r="I152" i="13"/>
  <c r="H152" i="13"/>
  <c r="B153" i="13"/>
  <c r="F153" i="13"/>
  <c r="I71" i="13" l="1"/>
  <c r="B72" i="13"/>
  <c r="E72" i="13"/>
  <c r="E73" i="13" s="1"/>
  <c r="D154" i="13"/>
  <c r="E154" i="13" s="1"/>
  <c r="E155" i="13" s="1"/>
  <c r="G153" i="13"/>
  <c r="F72" i="13" l="1"/>
  <c r="I153" i="13"/>
  <c r="H153" i="13"/>
  <c r="F154" i="13"/>
  <c r="G154" i="13" s="1"/>
  <c r="B154" i="13"/>
  <c r="H72" i="13" l="1"/>
  <c r="G72" i="13"/>
  <c r="G73" i="13" s="1"/>
  <c r="H154" i="13"/>
  <c r="H155" i="13" s="1"/>
  <c r="I154" i="13"/>
  <c r="I155" i="13" s="1"/>
  <c r="I72" i="13" l="1"/>
  <c r="I73" i="13" s="1"/>
  <c r="H73" i="13"/>
  <c r="F90" i="2" l="1"/>
  <c r="N100" i="38" l="1"/>
  <c r="O100" i="38" s="1"/>
  <c r="L100" i="38"/>
  <c r="M100" i="38" s="1"/>
  <c r="B100" i="42"/>
  <c r="B100" i="43"/>
  <c r="B100" i="41"/>
  <c r="B100" i="46" l="1"/>
  <c r="P100" i="38"/>
  <c r="J99" i="41"/>
  <c r="J99" i="43"/>
  <c r="B101" i="45" l="1"/>
  <c r="J100" i="45"/>
  <c r="B101" i="44"/>
  <c r="J99" i="42"/>
  <c r="B101" i="41"/>
  <c r="B101" i="42"/>
  <c r="B101" i="38"/>
  <c r="B101" i="46" l="1"/>
  <c r="J99" i="46"/>
  <c r="J100" i="44"/>
  <c r="J100" i="38"/>
  <c r="J100" i="42"/>
  <c r="J100" i="41"/>
  <c r="B106" i="24"/>
  <c r="B101" i="37"/>
  <c r="B111" i="11"/>
  <c r="B107" i="23"/>
  <c r="B104" i="31"/>
  <c r="B100" i="40"/>
  <c r="B109" i="5"/>
  <c r="B105" i="27"/>
  <c r="B108" i="22"/>
  <c r="B109" i="3"/>
  <c r="B104" i="29"/>
  <c r="B110" i="8"/>
  <c r="B101" i="39"/>
  <c r="B103" i="30"/>
  <c r="B110" i="6"/>
  <c r="B101" i="43"/>
  <c r="B109" i="4"/>
  <c r="B111" i="9"/>
  <c r="B104" i="28"/>
  <c r="B108" i="25"/>
  <c r="B112" i="10"/>
  <c r="B112" i="7"/>
  <c r="J100" i="46" l="1"/>
  <c r="B102" i="45"/>
  <c r="B102" i="44"/>
  <c r="B102" i="38"/>
  <c r="B102" i="42"/>
  <c r="B102" i="41"/>
  <c r="J100" i="43"/>
  <c r="J102" i="30"/>
  <c r="J103" i="29"/>
  <c r="J108" i="3"/>
  <c r="J100" i="37"/>
  <c r="J107" i="25"/>
  <c r="J103" i="28"/>
  <c r="J99" i="40"/>
  <c r="J100" i="39"/>
  <c r="J107" i="22"/>
  <c r="J109" i="8"/>
  <c r="J103" i="31"/>
  <c r="J111" i="7"/>
  <c r="J111" i="10"/>
  <c r="J110" i="9"/>
  <c r="J109" i="6"/>
  <c r="J105" i="24"/>
  <c r="J104" i="27"/>
  <c r="J106" i="23"/>
  <c r="J110" i="11"/>
  <c r="J108" i="5"/>
  <c r="J108" i="4"/>
  <c r="J101" i="44" l="1"/>
  <c r="J101" i="45"/>
  <c r="J101" i="42"/>
  <c r="J101" i="38"/>
  <c r="J101" i="41"/>
  <c r="B107" i="24"/>
  <c r="B101" i="40"/>
  <c r="B106" i="27"/>
  <c r="B104" i="30"/>
  <c r="B109" i="25"/>
  <c r="B109" i="22"/>
  <c r="B111" i="8"/>
  <c r="B113" i="7"/>
  <c r="B105" i="31"/>
  <c r="B105" i="29"/>
  <c r="B105" i="28"/>
  <c r="B110" i="4"/>
  <c r="B113" i="10"/>
  <c r="B108" i="23"/>
  <c r="B110" i="3"/>
  <c r="B102" i="43"/>
  <c r="B112" i="11"/>
  <c r="B111" i="6"/>
  <c r="B112" i="9"/>
  <c r="B102" i="39"/>
  <c r="B102" i="37"/>
  <c r="B110" i="5"/>
  <c r="B103" i="42" l="1"/>
  <c r="B103" i="38"/>
  <c r="B103" i="41"/>
  <c r="J111" i="9"/>
  <c r="J101" i="43"/>
  <c r="J112" i="10"/>
  <c r="J104" i="29"/>
  <c r="J109" i="5"/>
  <c r="J106" i="24"/>
  <c r="J109" i="3"/>
  <c r="J104" i="28"/>
  <c r="J105" i="27"/>
  <c r="J100" i="40"/>
  <c r="J101" i="37"/>
  <c r="J101" i="39"/>
  <c r="J110" i="6"/>
  <c r="J111" i="11"/>
  <c r="J110" i="8"/>
  <c r="J108" i="25"/>
  <c r="J107" i="23"/>
  <c r="J109" i="4"/>
  <c r="J104" i="31"/>
  <c r="J112" i="7"/>
  <c r="J108" i="22"/>
  <c r="J103" i="30"/>
  <c r="J102" i="38" l="1"/>
  <c r="J102" i="41"/>
  <c r="J102" i="42"/>
  <c r="B106" i="28"/>
  <c r="B109" i="23"/>
  <c r="B103" i="39"/>
  <c r="B108" i="24"/>
  <c r="B111" i="3"/>
  <c r="B111" i="4"/>
  <c r="B107" i="27"/>
  <c r="B114" i="7"/>
  <c r="B106" i="29"/>
  <c r="B103" i="43"/>
  <c r="B110" i="22"/>
  <c r="B114" i="10"/>
  <c r="B112" i="6"/>
  <c r="B105" i="30"/>
  <c r="B106" i="31"/>
  <c r="B112" i="8"/>
  <c r="B110" i="25"/>
  <c r="B113" i="11"/>
  <c r="B111" i="5"/>
  <c r="B102" i="40"/>
  <c r="B103" i="37"/>
  <c r="B113" i="9"/>
  <c r="J105" i="29" l="1"/>
  <c r="J102" i="37"/>
  <c r="J109" i="25"/>
  <c r="J109" i="22"/>
  <c r="J110" i="4"/>
  <c r="J107" i="24"/>
  <c r="J108" i="23"/>
  <c r="J101" i="40"/>
  <c r="J110" i="5"/>
  <c r="J112" i="11"/>
  <c r="J111" i="8"/>
  <c r="J104" i="30"/>
  <c r="J113" i="10"/>
  <c r="J102" i="43"/>
  <c r="J106" i="27"/>
  <c r="J105" i="28"/>
  <c r="J110" i="3"/>
  <c r="J105" i="31"/>
  <c r="J111" i="6"/>
  <c r="J113" i="7"/>
  <c r="J102" i="39"/>
  <c r="J112" i="9"/>
  <c r="P108" i="25" l="1"/>
  <c r="B104" i="39"/>
  <c r="B107" i="28"/>
  <c r="B108" i="27"/>
  <c r="B112" i="3"/>
  <c r="B115" i="10"/>
  <c r="B107" i="31"/>
  <c r="B115" i="7"/>
  <c r="B103" i="40"/>
  <c r="B112" i="4"/>
  <c r="B113" i="6"/>
  <c r="B114" i="9"/>
  <c r="B106" i="30"/>
  <c r="B112" i="5"/>
  <c r="B113" i="8"/>
  <c r="B104" i="37"/>
  <c r="B109" i="24"/>
  <c r="B110" i="23"/>
  <c r="B111" i="22"/>
  <c r="B107" i="29"/>
  <c r="B114" i="11"/>
  <c r="J112" i="8" l="1"/>
  <c r="J113" i="9"/>
  <c r="J103" i="39"/>
  <c r="J111" i="3"/>
  <c r="J108" i="24"/>
  <c r="J111" i="4"/>
  <c r="J103" i="37"/>
  <c r="J102" i="40"/>
  <c r="J114" i="10"/>
  <c r="J107" i="27"/>
  <c r="J106" i="28"/>
  <c r="J110" i="22"/>
  <c r="J105" i="30"/>
  <c r="J106" i="31"/>
  <c r="J106" i="29"/>
  <c r="J111" i="5"/>
  <c r="J112" i="6"/>
  <c r="J114" i="7"/>
  <c r="J113" i="11"/>
  <c r="J109" i="23"/>
  <c r="L99" i="47" l="1"/>
  <c r="M99" i="47" s="1"/>
  <c r="L86" i="49"/>
  <c r="L86" i="47" l="1"/>
  <c r="I17" i="49"/>
  <c r="M17" i="49"/>
  <c r="N6" i="49"/>
  <c r="L99" i="49"/>
  <c r="M99" i="49" s="1"/>
  <c r="K17" i="49"/>
  <c r="N5" i="49"/>
  <c r="L86" i="48"/>
  <c r="J99" i="47" l="1"/>
  <c r="N99" i="47"/>
  <c r="O99" i="47" s="1"/>
  <c r="P99" i="47" s="1"/>
  <c r="N17" i="49"/>
  <c r="N87" i="49"/>
  <c r="L17" i="49"/>
  <c r="M87" i="49"/>
  <c r="N99" i="49"/>
  <c r="O99" i="49" s="1"/>
  <c r="P99" i="49" s="1"/>
  <c r="J99" i="49"/>
  <c r="N7" i="49"/>
  <c r="L99" i="48"/>
  <c r="M99" i="48" s="1"/>
  <c r="O17" i="49" l="1"/>
  <c r="O87" i="49"/>
  <c r="N99" i="48"/>
  <c r="O99" i="48" s="1"/>
  <c r="P99" i="48" s="1"/>
  <c r="J99" i="48"/>
  <c r="M17" i="47" l="1"/>
  <c r="I17" i="47"/>
  <c r="N6" i="47"/>
  <c r="K17" i="47"/>
  <c r="N5" i="47"/>
  <c r="B18" i="48"/>
  <c r="K17" i="48"/>
  <c r="N5" i="48"/>
  <c r="I17" i="48"/>
  <c r="M17" i="48"/>
  <c r="N6" i="48"/>
  <c r="L17" i="48" l="1"/>
  <c r="M87" i="48"/>
  <c r="N17" i="47"/>
  <c r="N87" i="47"/>
  <c r="N17" i="48"/>
  <c r="N87" i="48"/>
  <c r="L17" i="47"/>
  <c r="M87" i="47"/>
  <c r="N7" i="47"/>
  <c r="I18" i="48"/>
  <c r="I18" i="49"/>
  <c r="N7" i="48"/>
  <c r="O17" i="48" l="1"/>
  <c r="O17" i="47"/>
  <c r="O87" i="47"/>
  <c r="O87" i="48"/>
  <c r="B104" i="38" l="1"/>
  <c r="B104" i="41"/>
  <c r="J110" i="25" l="1"/>
  <c r="B109" i="27"/>
  <c r="B112" i="22"/>
  <c r="B114" i="6"/>
  <c r="B111" i="23"/>
  <c r="J112" i="5"/>
  <c r="B113" i="4"/>
  <c r="J103" i="41"/>
  <c r="B108" i="31"/>
  <c r="J103" i="40"/>
  <c r="J103" i="38"/>
  <c r="J114" i="11"/>
  <c r="B108" i="28"/>
  <c r="J106" i="30"/>
  <c r="B116" i="7"/>
  <c r="B108" i="29"/>
  <c r="J102" i="45"/>
  <c r="B111" i="25"/>
  <c r="J113" i="8"/>
  <c r="J102" i="44"/>
  <c r="J115" i="10"/>
  <c r="J112" i="3"/>
  <c r="B103" i="45"/>
  <c r="B105" i="39"/>
  <c r="J110" i="23"/>
  <c r="J112" i="4"/>
  <c r="J114" i="9"/>
  <c r="J107" i="31"/>
  <c r="B114" i="8"/>
  <c r="J107" i="28"/>
  <c r="B107" i="30"/>
  <c r="B103" i="44"/>
  <c r="B116" i="10"/>
  <c r="J115" i="7"/>
  <c r="J107" i="29"/>
  <c r="B113" i="3"/>
  <c r="J104" i="39"/>
  <c r="B110" i="24"/>
  <c r="B115" i="9"/>
  <c r="B105" i="37"/>
  <c r="J113" i="6"/>
  <c r="B113" i="5"/>
  <c r="J108" i="27"/>
  <c r="J111" i="22"/>
  <c r="J109" i="24"/>
  <c r="B104" i="40"/>
  <c r="J101" i="46"/>
  <c r="B115" i="11"/>
  <c r="J104" i="37"/>
  <c r="B112" i="25" l="1"/>
  <c r="J111" i="25"/>
  <c r="B102" i="46" l="1"/>
  <c r="B100" i="49" l="1"/>
  <c r="J96" i="49"/>
  <c r="B100" i="48"/>
  <c r="J96" i="48"/>
  <c r="B100" i="47"/>
  <c r="J96" i="47"/>
  <c r="I14" i="47"/>
  <c r="I14" i="48"/>
  <c r="I14" i="49"/>
  <c r="B21" i="46"/>
  <c r="B19" i="49" l="1"/>
  <c r="B19" i="48"/>
  <c r="B18" i="47"/>
  <c r="B101" i="49" l="1"/>
  <c r="D21" i="49"/>
  <c r="B20" i="49"/>
  <c r="L100" i="48" l="1"/>
  <c r="M100" i="48" s="1"/>
  <c r="B101" i="48"/>
  <c r="B101" i="47"/>
  <c r="I19" i="49"/>
  <c r="B19" i="47"/>
  <c r="E21" i="49"/>
  <c r="F21" i="49" s="1"/>
  <c r="G21" i="49" s="1"/>
  <c r="B21" i="49"/>
  <c r="I19" i="48"/>
  <c r="I18" i="47"/>
  <c r="B20" i="48"/>
  <c r="D102" i="49" l="1"/>
  <c r="B102" i="49" s="1"/>
  <c r="E102" i="49"/>
  <c r="N100" i="49"/>
  <c r="O100" i="49" s="1"/>
  <c r="J100" i="49"/>
  <c r="L100" i="49"/>
  <c r="M100" i="49" s="1"/>
  <c r="B102" i="48"/>
  <c r="N100" i="48"/>
  <c r="O100" i="48" s="1"/>
  <c r="P100" i="48" s="1"/>
  <c r="J100" i="48"/>
  <c r="D102" i="47"/>
  <c r="B102" i="47" s="1"/>
  <c r="E102" i="47"/>
  <c r="J100" i="47"/>
  <c r="I20" i="48"/>
  <c r="H21" i="49"/>
  <c r="I21" i="49" s="1"/>
  <c r="D22" i="49"/>
  <c r="E22" i="49"/>
  <c r="I20" i="49"/>
  <c r="D103" i="48" l="1"/>
  <c r="B103" i="48" s="1"/>
  <c r="F102" i="49"/>
  <c r="G102" i="49" s="1"/>
  <c r="P100" i="49"/>
  <c r="F102" i="47"/>
  <c r="E103" i="47" s="1"/>
  <c r="B22" i="49"/>
  <c r="F22" i="49"/>
  <c r="H22" i="49" s="1"/>
  <c r="I19" i="47"/>
  <c r="B21" i="48"/>
  <c r="B20" i="47"/>
  <c r="G102" i="47" l="1"/>
  <c r="I102" i="47" s="1"/>
  <c r="N88" i="47" s="1"/>
  <c r="E103" i="49"/>
  <c r="D103" i="49"/>
  <c r="B103" i="49" s="1"/>
  <c r="E103" i="48"/>
  <c r="F103" i="48" s="1"/>
  <c r="G103" i="48" s="1"/>
  <c r="H102" i="49"/>
  <c r="M88" i="49" s="1"/>
  <c r="M89" i="49" s="1"/>
  <c r="I102" i="49"/>
  <c r="N88" i="49" s="1"/>
  <c r="N89" i="49" s="1"/>
  <c r="D103" i="47"/>
  <c r="F103" i="47" s="1"/>
  <c r="J101" i="49"/>
  <c r="J101" i="48"/>
  <c r="J101" i="47"/>
  <c r="I20" i="47"/>
  <c r="D21" i="47"/>
  <c r="G22" i="49"/>
  <c r="I22" i="49" s="1"/>
  <c r="D23" i="49"/>
  <c r="E23" i="49"/>
  <c r="I21" i="48"/>
  <c r="D22" i="48"/>
  <c r="E22" i="48"/>
  <c r="I48" i="17"/>
  <c r="O88" i="49" l="1"/>
  <c r="O89" i="49" s="1"/>
  <c r="N89" i="47"/>
  <c r="H102" i="47"/>
  <c r="D104" i="48"/>
  <c r="B104" i="48" s="1"/>
  <c r="E104" i="48"/>
  <c r="F103" i="49"/>
  <c r="G103" i="49" s="1"/>
  <c r="B103" i="47"/>
  <c r="J102" i="49"/>
  <c r="H103" i="48"/>
  <c r="M88" i="48" s="1"/>
  <c r="M89" i="48" s="1"/>
  <c r="I103" i="48"/>
  <c r="D104" i="47"/>
  <c r="B104" i="47" s="1"/>
  <c r="G103" i="47"/>
  <c r="E104" i="47"/>
  <c r="E21" i="47"/>
  <c r="F21" i="47" s="1"/>
  <c r="B21" i="47"/>
  <c r="F22" i="48"/>
  <c r="B22" i="48"/>
  <c r="B23" i="49"/>
  <c r="F23" i="49"/>
  <c r="G23" i="49" s="1"/>
  <c r="I47" i="17"/>
  <c r="J102" i="47" l="1"/>
  <c r="M88" i="47"/>
  <c r="J102" i="48"/>
  <c r="N88" i="48"/>
  <c r="F104" i="48"/>
  <c r="G104" i="48" s="1"/>
  <c r="H104" i="48" s="1"/>
  <c r="D104" i="49"/>
  <c r="B104" i="49" s="1"/>
  <c r="J103" i="48"/>
  <c r="E104" i="49"/>
  <c r="F104" i="47"/>
  <c r="D105" i="47" s="1"/>
  <c r="B105" i="47" s="1"/>
  <c r="I103" i="49"/>
  <c r="H103" i="49"/>
  <c r="H103" i="47"/>
  <c r="I103" i="47"/>
  <c r="D22" i="47"/>
  <c r="B22" i="47" s="1"/>
  <c r="H21" i="47"/>
  <c r="G21" i="47"/>
  <c r="H23" i="49"/>
  <c r="I23" i="49" s="1"/>
  <c r="D24" i="49"/>
  <c r="E24" i="49"/>
  <c r="H22" i="48"/>
  <c r="D23" i="48"/>
  <c r="E23" i="48"/>
  <c r="E22" i="47"/>
  <c r="G22" i="48"/>
  <c r="M89" i="47" l="1"/>
  <c r="O88" i="47"/>
  <c r="O89" i="47" s="1"/>
  <c r="N89" i="48"/>
  <c r="O88" i="48"/>
  <c r="O89" i="48" s="1"/>
  <c r="D105" i="48"/>
  <c r="B105" i="48" s="1"/>
  <c r="E105" i="48"/>
  <c r="I104" i="48"/>
  <c r="J104" i="48" s="1"/>
  <c r="F104" i="49"/>
  <c r="G104" i="49" s="1"/>
  <c r="E105" i="47"/>
  <c r="F105" i="47" s="1"/>
  <c r="D106" i="47" s="1"/>
  <c r="G104" i="47"/>
  <c r="I104" i="47" s="1"/>
  <c r="J103" i="49"/>
  <c r="J103" i="47"/>
  <c r="F22" i="47"/>
  <c r="H22" i="47" s="1"/>
  <c r="I21" i="47"/>
  <c r="I22" i="48"/>
  <c r="F23" i="48"/>
  <c r="G23" i="48" s="1"/>
  <c r="B23" i="48"/>
  <c r="F24" i="49"/>
  <c r="G24" i="49" s="1"/>
  <c r="B24" i="49"/>
  <c r="I46" i="17"/>
  <c r="E105" i="49" l="1"/>
  <c r="H104" i="47"/>
  <c r="J104" i="47" s="1"/>
  <c r="D105" i="49"/>
  <c r="B105" i="49" s="1"/>
  <c r="F105" i="48"/>
  <c r="D106" i="48" s="1"/>
  <c r="B106" i="48" s="1"/>
  <c r="E106" i="47"/>
  <c r="F106" i="47" s="1"/>
  <c r="G105" i="47"/>
  <c r="I105" i="47" s="1"/>
  <c r="I104" i="49"/>
  <c r="H104" i="49"/>
  <c r="E23" i="47"/>
  <c r="G22" i="47"/>
  <c r="I22" i="47" s="1"/>
  <c r="D23" i="47"/>
  <c r="B23" i="47" s="1"/>
  <c r="B106" i="47"/>
  <c r="H23" i="48"/>
  <c r="I23" i="48" s="1"/>
  <c r="H24" i="49"/>
  <c r="I24" i="49" s="1"/>
  <c r="D25" i="49"/>
  <c r="E25" i="49"/>
  <c r="D24" i="48"/>
  <c r="E24" i="48"/>
  <c r="H105" i="47" l="1"/>
  <c r="J105" i="47" s="1"/>
  <c r="F105" i="49"/>
  <c r="G105" i="49" s="1"/>
  <c r="I105" i="49" s="1"/>
  <c r="E106" i="48"/>
  <c r="F106" i="48" s="1"/>
  <c r="G105" i="48"/>
  <c r="I105" i="48" s="1"/>
  <c r="J104" i="49"/>
  <c r="F23" i="47"/>
  <c r="H23" i="47" s="1"/>
  <c r="H105" i="49"/>
  <c r="G106" i="47"/>
  <c r="D107" i="47"/>
  <c r="E107" i="47"/>
  <c r="F24" i="48"/>
  <c r="H24" i="48" s="1"/>
  <c r="B24" i="48"/>
  <c r="B25" i="49"/>
  <c r="F25" i="49"/>
  <c r="H25" i="49" s="1"/>
  <c r="H105" i="48" l="1"/>
  <c r="D106" i="49"/>
  <c r="B106" i="49" s="1"/>
  <c r="E106" i="49"/>
  <c r="E24" i="47"/>
  <c r="D24" i="47"/>
  <c r="B24" i="47" s="1"/>
  <c r="E107" i="48"/>
  <c r="G106" i="48"/>
  <c r="D107" i="48"/>
  <c r="G23" i="47"/>
  <c r="I23" i="47" s="1"/>
  <c r="J105" i="48"/>
  <c r="J105" i="49"/>
  <c r="B107" i="47"/>
  <c r="F107" i="47"/>
  <c r="H106" i="47"/>
  <c r="I106" i="47"/>
  <c r="G24" i="48"/>
  <c r="I24" i="48" s="1"/>
  <c r="G25" i="49"/>
  <c r="I25" i="49" s="1"/>
  <c r="D26" i="49"/>
  <c r="E26" i="49"/>
  <c r="D25" i="48"/>
  <c r="E25" i="48"/>
  <c r="F106" i="49" l="1"/>
  <c r="G106" i="49" s="1"/>
  <c r="E107" i="49"/>
  <c r="D107" i="49"/>
  <c r="B107" i="49" s="1"/>
  <c r="F24" i="47"/>
  <c r="G24" i="47" s="1"/>
  <c r="I106" i="48"/>
  <c r="H106" i="48"/>
  <c r="J106" i="47"/>
  <c r="B107" i="48"/>
  <c r="F107" i="48"/>
  <c r="H106" i="49"/>
  <c r="I106" i="49"/>
  <c r="G107" i="47"/>
  <c r="D108" i="47"/>
  <c r="E108" i="47"/>
  <c r="B25" i="48"/>
  <c r="F25" i="48"/>
  <c r="G25" i="48" s="1"/>
  <c r="B26" i="49"/>
  <c r="F26" i="49"/>
  <c r="H26" i="49" s="1"/>
  <c r="F107" i="49" l="1"/>
  <c r="E108" i="49" s="1"/>
  <c r="H24" i="47"/>
  <c r="I24" i="47" s="1"/>
  <c r="E25" i="47"/>
  <c r="D25" i="47"/>
  <c r="B25" i="47" s="1"/>
  <c r="J106" i="49"/>
  <c r="J106" i="48"/>
  <c r="G107" i="48"/>
  <c r="D108" i="48"/>
  <c r="E108" i="48"/>
  <c r="B108" i="47"/>
  <c r="F108" i="47"/>
  <c r="H107" i="47"/>
  <c r="I107" i="47"/>
  <c r="H25" i="48"/>
  <c r="I25" i="48" s="1"/>
  <c r="G26" i="49"/>
  <c r="I26" i="49" s="1"/>
  <c r="D27" i="49"/>
  <c r="E27" i="49"/>
  <c r="D26" i="48"/>
  <c r="E26" i="48"/>
  <c r="D108" i="49" l="1"/>
  <c r="B108" i="49" s="1"/>
  <c r="G107" i="49"/>
  <c r="H107" i="49" s="1"/>
  <c r="F25" i="47"/>
  <c r="G25" i="47" s="1"/>
  <c r="I107" i="48"/>
  <c r="H107" i="48"/>
  <c r="B108" i="48"/>
  <c r="F108" i="48"/>
  <c r="J107" i="47"/>
  <c r="D109" i="47"/>
  <c r="B109" i="47" s="1"/>
  <c r="G108" i="47"/>
  <c r="E109" i="47"/>
  <c r="B26" i="48"/>
  <c r="F26" i="48"/>
  <c r="G26" i="48" s="1"/>
  <c r="F27" i="49"/>
  <c r="H27" i="49" s="1"/>
  <c r="B27" i="49"/>
  <c r="D26" i="47" l="1"/>
  <c r="B26" i="47" s="1"/>
  <c r="H25" i="47"/>
  <c r="I25" i="47" s="1"/>
  <c r="I107" i="49"/>
  <c r="J107" i="49" s="1"/>
  <c r="F108" i="49"/>
  <c r="E109" i="49" s="1"/>
  <c r="E26" i="47"/>
  <c r="G108" i="48"/>
  <c r="D109" i="48"/>
  <c r="E109" i="48"/>
  <c r="J107" i="48"/>
  <c r="F109" i="47"/>
  <c r="G109" i="47" s="1"/>
  <c r="I108" i="47"/>
  <c r="H108" i="47"/>
  <c r="G27" i="49"/>
  <c r="I27" i="49" s="1"/>
  <c r="D28" i="49"/>
  <c r="E28" i="49"/>
  <c r="H26" i="48"/>
  <c r="I26" i="48" s="1"/>
  <c r="D27" i="48"/>
  <c r="E27" i="48"/>
  <c r="F26" i="47" l="1"/>
  <c r="G26" i="47" s="1"/>
  <c r="G108" i="49"/>
  <c r="H108" i="49" s="1"/>
  <c r="D109" i="49"/>
  <c r="F109" i="49" s="1"/>
  <c r="B109" i="48"/>
  <c r="F109" i="48"/>
  <c r="I108" i="48"/>
  <c r="H108" i="48"/>
  <c r="E110" i="47"/>
  <c r="D110" i="47"/>
  <c r="B110" i="47" s="1"/>
  <c r="J108" i="47"/>
  <c r="H109" i="47"/>
  <c r="I109" i="47"/>
  <c r="F28" i="49"/>
  <c r="G28" i="49" s="1"/>
  <c r="B28" i="49"/>
  <c r="H26" i="47"/>
  <c r="D27" i="47"/>
  <c r="F27" i="48"/>
  <c r="G27" i="48" s="1"/>
  <c r="B27" i="48"/>
  <c r="B109" i="49" l="1"/>
  <c r="I108" i="49"/>
  <c r="J108" i="49" s="1"/>
  <c r="J108" i="48"/>
  <c r="D110" i="49"/>
  <c r="G109" i="49"/>
  <c r="E110" i="49"/>
  <c r="E110" i="48"/>
  <c r="G109" i="48"/>
  <c r="D110" i="48"/>
  <c r="J109" i="47"/>
  <c r="F110" i="47"/>
  <c r="E111" i="47" s="1"/>
  <c r="I26" i="47"/>
  <c r="H27" i="48"/>
  <c r="I27" i="48" s="1"/>
  <c r="D28" i="48"/>
  <c r="E28" i="48"/>
  <c r="E27" i="47"/>
  <c r="F27" i="47" s="1"/>
  <c r="B27" i="47"/>
  <c r="H28" i="49"/>
  <c r="I28" i="49" s="1"/>
  <c r="D29" i="49"/>
  <c r="E29" i="49"/>
  <c r="B110" i="49" l="1"/>
  <c r="F110" i="49"/>
  <c r="I109" i="49"/>
  <c r="H109" i="49"/>
  <c r="B110" i="48"/>
  <c r="F110" i="48"/>
  <c r="I109" i="48"/>
  <c r="H109" i="48"/>
  <c r="G110" i="47"/>
  <c r="D111" i="47"/>
  <c r="G27" i="47"/>
  <c r="D28" i="47"/>
  <c r="H27" i="47"/>
  <c r="F28" i="48"/>
  <c r="G28" i="48" s="1"/>
  <c r="B28" i="48"/>
  <c r="B29" i="49"/>
  <c r="F29" i="49"/>
  <c r="D111" i="49" l="1"/>
  <c r="G110" i="49"/>
  <c r="E111" i="49"/>
  <c r="J109" i="49"/>
  <c r="J109" i="48"/>
  <c r="G110" i="48"/>
  <c r="D111" i="48"/>
  <c r="E111" i="48"/>
  <c r="B111" i="47"/>
  <c r="F111" i="47"/>
  <c r="H110" i="47"/>
  <c r="I110" i="47"/>
  <c r="I27" i="47"/>
  <c r="D30" i="49"/>
  <c r="E30" i="49"/>
  <c r="H28" i="48"/>
  <c r="I28" i="48" s="1"/>
  <c r="D29" i="48"/>
  <c r="E29" i="48"/>
  <c r="H29" i="49"/>
  <c r="E28" i="47"/>
  <c r="F28" i="47" s="1"/>
  <c r="H28" i="47" s="1"/>
  <c r="B28" i="47"/>
  <c r="G29" i="49"/>
  <c r="B111" i="49" l="1"/>
  <c r="F111" i="49"/>
  <c r="H110" i="49"/>
  <c r="I110" i="49"/>
  <c r="B111" i="48"/>
  <c r="F111" i="48"/>
  <c r="J110" i="47"/>
  <c r="I110" i="48"/>
  <c r="H110" i="48"/>
  <c r="E112" i="47"/>
  <c r="D112" i="47"/>
  <c r="G111" i="47"/>
  <c r="G28" i="47"/>
  <c r="I28" i="47" s="1"/>
  <c r="D29" i="47"/>
  <c r="E29" i="47"/>
  <c r="B30" i="49"/>
  <c r="F30" i="49"/>
  <c r="H30" i="49" s="1"/>
  <c r="I29" i="49"/>
  <c r="F29" i="48"/>
  <c r="H29" i="48" s="1"/>
  <c r="B29" i="48"/>
  <c r="J110" i="49" l="1"/>
  <c r="D112" i="49"/>
  <c r="B112" i="49" s="1"/>
  <c r="G111" i="49"/>
  <c r="E112" i="49"/>
  <c r="J110" i="48"/>
  <c r="G111" i="48"/>
  <c r="E112" i="48"/>
  <c r="D112" i="48"/>
  <c r="I111" i="47"/>
  <c r="H111" i="47"/>
  <c r="B112" i="47"/>
  <c r="F112" i="47"/>
  <c r="D30" i="48"/>
  <c r="E30" i="48"/>
  <c r="G30" i="49"/>
  <c r="I30" i="49" s="1"/>
  <c r="D31" i="49"/>
  <c r="E31" i="49"/>
  <c r="F29" i="47"/>
  <c r="H29" i="47" s="1"/>
  <c r="B29" i="47"/>
  <c r="G29" i="48"/>
  <c r="I29" i="48" s="1"/>
  <c r="F112" i="49" l="1"/>
  <c r="E113" i="49" s="1"/>
  <c r="H111" i="49"/>
  <c r="I111" i="49"/>
  <c r="B112" i="48"/>
  <c r="F112" i="48"/>
  <c r="I111" i="48"/>
  <c r="H111" i="48"/>
  <c r="G112" i="47"/>
  <c r="D113" i="47"/>
  <c r="E113" i="47"/>
  <c r="J111" i="47"/>
  <c r="F30" i="48"/>
  <c r="H30" i="48" s="1"/>
  <c r="B30" i="48"/>
  <c r="G29" i="47"/>
  <c r="I29" i="47" s="1"/>
  <c r="D30" i="47"/>
  <c r="F31" i="49"/>
  <c r="G31" i="49" s="1"/>
  <c r="B31" i="49"/>
  <c r="G112" i="49" l="1"/>
  <c r="I112" i="49" s="1"/>
  <c r="D113" i="49"/>
  <c r="B113" i="49" s="1"/>
  <c r="J111" i="49"/>
  <c r="J111" i="48"/>
  <c r="E113" i="48"/>
  <c r="D113" i="48"/>
  <c r="B113" i="48" s="1"/>
  <c r="G112" i="48"/>
  <c r="B113" i="47"/>
  <c r="F113" i="47"/>
  <c r="I112" i="47"/>
  <c r="H112" i="47"/>
  <c r="E30" i="47"/>
  <c r="F30" i="47" s="1"/>
  <c r="B30" i="47"/>
  <c r="H31" i="49"/>
  <c r="I31" i="49" s="1"/>
  <c r="D32" i="49"/>
  <c r="E32" i="49"/>
  <c r="G30" i="48"/>
  <c r="I30" i="48" s="1"/>
  <c r="D31" i="48"/>
  <c r="E31" i="48"/>
  <c r="H112" i="49" l="1"/>
  <c r="J112" i="49" s="1"/>
  <c r="F113" i="49"/>
  <c r="F113" i="48"/>
  <c r="E114" i="48" s="1"/>
  <c r="H112" i="48"/>
  <c r="I112" i="48"/>
  <c r="J112" i="47"/>
  <c r="G113" i="47"/>
  <c r="D114" i="47"/>
  <c r="B114" i="47" s="1"/>
  <c r="E114" i="47"/>
  <c r="D31" i="47"/>
  <c r="E31" i="47"/>
  <c r="G30" i="47"/>
  <c r="H30" i="47"/>
  <c r="F31" i="48"/>
  <c r="H31" i="48" s="1"/>
  <c r="B31" i="48"/>
  <c r="B32" i="49"/>
  <c r="F32" i="49"/>
  <c r="G113" i="49" l="1"/>
  <c r="D114" i="49"/>
  <c r="E114" i="49"/>
  <c r="J112" i="48"/>
  <c r="G113" i="48"/>
  <c r="H113" i="48" s="1"/>
  <c r="D114" i="48"/>
  <c r="B114" i="48" s="1"/>
  <c r="F114" i="47"/>
  <c r="H113" i="47"/>
  <c r="I113" i="47"/>
  <c r="I30" i="47"/>
  <c r="H32" i="49"/>
  <c r="D33" i="49"/>
  <c r="E33" i="49"/>
  <c r="G31" i="48"/>
  <c r="I31" i="48" s="1"/>
  <c r="D32" i="48"/>
  <c r="E32" i="48"/>
  <c r="G32" i="49"/>
  <c r="B31" i="47"/>
  <c r="F31" i="47"/>
  <c r="B114" i="49" l="1"/>
  <c r="F114" i="49"/>
  <c r="H113" i="49"/>
  <c r="I113" i="49"/>
  <c r="J113" i="47"/>
  <c r="F114" i="48"/>
  <c r="D115" i="48" s="1"/>
  <c r="B115" i="48" s="1"/>
  <c r="I113" i="48"/>
  <c r="J113" i="48" s="1"/>
  <c r="E115" i="47"/>
  <c r="G114" i="47"/>
  <c r="D115" i="47"/>
  <c r="I32" i="49"/>
  <c r="F33" i="49"/>
  <c r="G33" i="49" s="1"/>
  <c r="B33" i="49"/>
  <c r="G31" i="47"/>
  <c r="D32" i="47"/>
  <c r="H31" i="47"/>
  <c r="F32" i="48"/>
  <c r="G32" i="48" s="1"/>
  <c r="B32" i="48"/>
  <c r="J113" i="49" l="1"/>
  <c r="E115" i="49"/>
  <c r="G114" i="49"/>
  <c r="D115" i="49"/>
  <c r="G114" i="48"/>
  <c r="I114" i="48" s="1"/>
  <c r="E115" i="48"/>
  <c r="F115" i="48" s="1"/>
  <c r="D116" i="48" s="1"/>
  <c r="B116" i="48" s="1"/>
  <c r="B115" i="47"/>
  <c r="F115" i="47"/>
  <c r="I114" i="47"/>
  <c r="H114" i="47"/>
  <c r="I31" i="47"/>
  <c r="H32" i="48"/>
  <c r="I32" i="48" s="1"/>
  <c r="E32" i="47"/>
  <c r="F32" i="47" s="1"/>
  <c r="D33" i="47" s="1"/>
  <c r="B32" i="47"/>
  <c r="D33" i="48"/>
  <c r="E33" i="48"/>
  <c r="H33" i="49"/>
  <c r="I33" i="49" s="1"/>
  <c r="D34" i="49"/>
  <c r="E34" i="49"/>
  <c r="H114" i="49" l="1"/>
  <c r="I114" i="49"/>
  <c r="B115" i="49"/>
  <c r="F115" i="49"/>
  <c r="H114" i="48"/>
  <c r="J114" i="48" s="1"/>
  <c r="E116" i="48"/>
  <c r="F116" i="48" s="1"/>
  <c r="D117" i="48" s="1"/>
  <c r="G115" i="48"/>
  <c r="H115" i="48" s="1"/>
  <c r="J114" i="47"/>
  <c r="D116" i="47"/>
  <c r="E116" i="47"/>
  <c r="G115" i="47"/>
  <c r="H32" i="47"/>
  <c r="B34" i="49"/>
  <c r="F34" i="49"/>
  <c r="G34" i="49" s="1"/>
  <c r="E33" i="47"/>
  <c r="F33" i="47" s="1"/>
  <c r="G33" i="47" s="1"/>
  <c r="B33" i="47"/>
  <c r="B33" i="48"/>
  <c r="F33" i="48"/>
  <c r="G33" i="48" s="1"/>
  <c r="G32" i="47"/>
  <c r="J114" i="49" l="1"/>
  <c r="E116" i="49"/>
  <c r="D116" i="49"/>
  <c r="G115" i="49"/>
  <c r="E117" i="48"/>
  <c r="F117" i="48" s="1"/>
  <c r="G116" i="48"/>
  <c r="I116" i="48" s="1"/>
  <c r="I115" i="48"/>
  <c r="J115" i="48" s="1"/>
  <c r="B117" i="48"/>
  <c r="H115" i="47"/>
  <c r="I115" i="47"/>
  <c r="B116" i="47"/>
  <c r="F116" i="47"/>
  <c r="H33" i="48"/>
  <c r="I33" i="48" s="1"/>
  <c r="H33" i="47"/>
  <c r="I33" i="47" s="1"/>
  <c r="D34" i="47"/>
  <c r="H34" i="49"/>
  <c r="I34" i="49" s="1"/>
  <c r="D35" i="49"/>
  <c r="E35" i="49"/>
  <c r="D34" i="48"/>
  <c r="E34" i="48"/>
  <c r="I32" i="47"/>
  <c r="H115" i="49" l="1"/>
  <c r="I115" i="49"/>
  <c r="B116" i="49"/>
  <c r="F116" i="49"/>
  <c r="H116" i="48"/>
  <c r="J116" i="48" s="1"/>
  <c r="D118" i="48"/>
  <c r="B118" i="48" s="1"/>
  <c r="E118" i="48"/>
  <c r="G117" i="48"/>
  <c r="E117" i="47"/>
  <c r="D117" i="47"/>
  <c r="G116" i="47"/>
  <c r="J115" i="47"/>
  <c r="F34" i="48"/>
  <c r="G34" i="48" s="1"/>
  <c r="B34" i="48"/>
  <c r="F35" i="49"/>
  <c r="H35" i="49" s="1"/>
  <c r="B35" i="49"/>
  <c r="E34" i="47"/>
  <c r="F34" i="47" s="1"/>
  <c r="B34" i="47"/>
  <c r="J115" i="49" l="1"/>
  <c r="D117" i="49"/>
  <c r="E117" i="49"/>
  <c r="G116" i="49"/>
  <c r="F118" i="48"/>
  <c r="G118" i="48" s="1"/>
  <c r="I117" i="48"/>
  <c r="H117" i="48"/>
  <c r="B117" i="47"/>
  <c r="F117" i="47"/>
  <c r="H116" i="47"/>
  <c r="I116" i="47"/>
  <c r="H34" i="47"/>
  <c r="D35" i="47"/>
  <c r="G34" i="47"/>
  <c r="G35" i="49"/>
  <c r="I35" i="49" s="1"/>
  <c r="D36" i="49"/>
  <c r="E36" i="49"/>
  <c r="H34" i="48"/>
  <c r="I34" i="48" s="1"/>
  <c r="D35" i="48"/>
  <c r="E35" i="48"/>
  <c r="H116" i="49" l="1"/>
  <c r="I116" i="49"/>
  <c r="B117" i="49"/>
  <c r="F117" i="49"/>
  <c r="J116" i="47"/>
  <c r="E119" i="48"/>
  <c r="D119" i="48"/>
  <c r="H118" i="48"/>
  <c r="I118" i="48"/>
  <c r="J117" i="48"/>
  <c r="G117" i="47"/>
  <c r="D118" i="47"/>
  <c r="B118" i="47" s="1"/>
  <c r="E118" i="47"/>
  <c r="I34" i="47"/>
  <c r="F35" i="48"/>
  <c r="G35" i="48" s="1"/>
  <c r="B35" i="48"/>
  <c r="E35" i="47"/>
  <c r="F35" i="47" s="1"/>
  <c r="G35" i="47" s="1"/>
  <c r="B35" i="47"/>
  <c r="F36" i="49"/>
  <c r="G36" i="49" s="1"/>
  <c r="B36" i="49"/>
  <c r="E118" i="49" l="1"/>
  <c r="G117" i="49"/>
  <c r="D118" i="49"/>
  <c r="J116" i="49"/>
  <c r="F119" i="48"/>
  <c r="G119" i="48" s="1"/>
  <c r="J118" i="48"/>
  <c r="B119" i="48"/>
  <c r="F118" i="47"/>
  <c r="E119" i="47" s="1"/>
  <c r="I117" i="47"/>
  <c r="H117" i="47"/>
  <c r="H35" i="47"/>
  <c r="I35" i="47" s="1"/>
  <c r="D36" i="47"/>
  <c r="H36" i="49"/>
  <c r="I36" i="49" s="1"/>
  <c r="D37" i="49"/>
  <c r="E37" i="49"/>
  <c r="H35" i="48"/>
  <c r="I35" i="48" s="1"/>
  <c r="D36" i="48"/>
  <c r="E36" i="48"/>
  <c r="D120" i="48" l="1"/>
  <c r="B120" i="48" s="1"/>
  <c r="E120" i="48"/>
  <c r="B118" i="49"/>
  <c r="F118" i="49"/>
  <c r="I117" i="49"/>
  <c r="H117" i="49"/>
  <c r="D119" i="47"/>
  <c r="B119" i="47" s="1"/>
  <c r="G118" i="47"/>
  <c r="H118" i="47" s="1"/>
  <c r="I119" i="48"/>
  <c r="H119" i="48"/>
  <c r="J117" i="47"/>
  <c r="E36" i="47"/>
  <c r="F36" i="47" s="1"/>
  <c r="G36" i="47" s="1"/>
  <c r="B36" i="47"/>
  <c r="B37" i="49"/>
  <c r="F37" i="49"/>
  <c r="H37" i="49" s="1"/>
  <c r="F36" i="48"/>
  <c r="H36" i="48" s="1"/>
  <c r="B36" i="48"/>
  <c r="F120" i="48" l="1"/>
  <c r="D121" i="48" s="1"/>
  <c r="J117" i="49"/>
  <c r="D119" i="49"/>
  <c r="G118" i="49"/>
  <c r="E119" i="49"/>
  <c r="I118" i="47"/>
  <c r="J118" i="47" s="1"/>
  <c r="F119" i="47"/>
  <c r="E120" i="47" s="1"/>
  <c r="J119" i="48"/>
  <c r="G120" i="48"/>
  <c r="G36" i="48"/>
  <c r="I36" i="48" s="1"/>
  <c r="D37" i="48"/>
  <c r="E37" i="48"/>
  <c r="H36" i="47"/>
  <c r="I36" i="47" s="1"/>
  <c r="D37" i="47"/>
  <c r="G37" i="49"/>
  <c r="I37" i="49" s="1"/>
  <c r="D38" i="49"/>
  <c r="E38" i="49"/>
  <c r="E121" i="48" l="1"/>
  <c r="F121" i="48" s="1"/>
  <c r="D120" i="47"/>
  <c r="B120" i="47" s="1"/>
  <c r="B119" i="49"/>
  <c r="F119" i="49"/>
  <c r="H118" i="49"/>
  <c r="I118" i="49"/>
  <c r="G119" i="47"/>
  <c r="I119" i="47" s="1"/>
  <c r="H120" i="48"/>
  <c r="I120" i="48"/>
  <c r="B121" i="48"/>
  <c r="F38" i="49"/>
  <c r="H38" i="49" s="1"/>
  <c r="B38" i="49"/>
  <c r="B37" i="48"/>
  <c r="F37" i="48"/>
  <c r="G37" i="48" s="1"/>
  <c r="E37" i="47"/>
  <c r="F37" i="47" s="1"/>
  <c r="D38" i="47" s="1"/>
  <c r="B37" i="47"/>
  <c r="F120" i="47" l="1"/>
  <c r="E121" i="47" s="1"/>
  <c r="J118" i="49"/>
  <c r="H119" i="47"/>
  <c r="J119" i="47" s="1"/>
  <c r="D120" i="49"/>
  <c r="G119" i="49"/>
  <c r="E120" i="49"/>
  <c r="J120" i="48"/>
  <c r="G121" i="48"/>
  <c r="D122" i="48"/>
  <c r="B122" i="48" s="1"/>
  <c r="E122" i="48"/>
  <c r="G120" i="47"/>
  <c r="G38" i="49"/>
  <c r="I38" i="49" s="1"/>
  <c r="D39" i="49"/>
  <c r="E39" i="49"/>
  <c r="E38" i="47"/>
  <c r="F38" i="47" s="1"/>
  <c r="G38" i="47" s="1"/>
  <c r="B38" i="47"/>
  <c r="G37" i="47"/>
  <c r="H37" i="47"/>
  <c r="H37" i="48"/>
  <c r="I37" i="48" s="1"/>
  <c r="D38" i="48"/>
  <c r="E38" i="48"/>
  <c r="D121" i="47" l="1"/>
  <c r="B121" i="47" s="1"/>
  <c r="I119" i="49"/>
  <c r="H119" i="49"/>
  <c r="B120" i="49"/>
  <c r="F120" i="49"/>
  <c r="F122" i="48"/>
  <c r="G122" i="48" s="1"/>
  <c r="F121" i="47"/>
  <c r="E122" i="47" s="1"/>
  <c r="H121" i="48"/>
  <c r="I121" i="48"/>
  <c r="H120" i="47"/>
  <c r="I120" i="47"/>
  <c r="I37" i="47"/>
  <c r="H38" i="47"/>
  <c r="I38" i="47" s="1"/>
  <c r="D39" i="47"/>
  <c r="F38" i="48"/>
  <c r="G38" i="48" s="1"/>
  <c r="B38" i="48"/>
  <c r="F39" i="49"/>
  <c r="G39" i="49" s="1"/>
  <c r="B39" i="49"/>
  <c r="E123" i="48" l="1"/>
  <c r="D123" i="48"/>
  <c r="B123" i="48" s="1"/>
  <c r="D121" i="49"/>
  <c r="E121" i="49"/>
  <c r="G120" i="49"/>
  <c r="J119" i="49"/>
  <c r="J120" i="47"/>
  <c r="G121" i="47"/>
  <c r="H121" i="47" s="1"/>
  <c r="D122" i="47"/>
  <c r="B122" i="47" s="1"/>
  <c r="H122" i="48"/>
  <c r="I122" i="48"/>
  <c r="J121" i="48"/>
  <c r="H39" i="49"/>
  <c r="I39" i="49" s="1"/>
  <c r="D40" i="49"/>
  <c r="E40" i="49"/>
  <c r="E39" i="47"/>
  <c r="F39" i="47" s="1"/>
  <c r="D40" i="47" s="1"/>
  <c r="B39" i="47"/>
  <c r="H38" i="48"/>
  <c r="I38" i="48" s="1"/>
  <c r="D39" i="48"/>
  <c r="E39" i="48"/>
  <c r="F123" i="48" l="1"/>
  <c r="D124" i="48" s="1"/>
  <c r="I120" i="49"/>
  <c r="H120" i="49"/>
  <c r="F121" i="49"/>
  <c r="B121" i="49"/>
  <c r="F122" i="47"/>
  <c r="D123" i="47" s="1"/>
  <c r="J122" i="48"/>
  <c r="I121" i="47"/>
  <c r="J121" i="47" s="1"/>
  <c r="E124" i="48"/>
  <c r="E40" i="47"/>
  <c r="F40" i="47" s="1"/>
  <c r="B40" i="47"/>
  <c r="F39" i="48"/>
  <c r="H39" i="48" s="1"/>
  <c r="B39" i="48"/>
  <c r="H39" i="47"/>
  <c r="F40" i="49"/>
  <c r="G40" i="49" s="1"/>
  <c r="B40" i="49"/>
  <c r="G39" i="47"/>
  <c r="G123" i="48" l="1"/>
  <c r="E123" i="47"/>
  <c r="F123" i="47" s="1"/>
  <c r="G121" i="49"/>
  <c r="E122" i="49"/>
  <c r="D122" i="49"/>
  <c r="B122" i="49" s="1"/>
  <c r="J120" i="49"/>
  <c r="G122" i="47"/>
  <c r="I122" i="47" s="1"/>
  <c r="H123" i="48"/>
  <c r="I123" i="48"/>
  <c r="B124" i="48"/>
  <c r="F124" i="48"/>
  <c r="B123" i="47"/>
  <c r="I39" i="47"/>
  <c r="G40" i="47"/>
  <c r="D41" i="47"/>
  <c r="G39" i="48"/>
  <c r="I39" i="48" s="1"/>
  <c r="D40" i="48"/>
  <c r="E40" i="48"/>
  <c r="H40" i="49"/>
  <c r="I40" i="49" s="1"/>
  <c r="D41" i="49"/>
  <c r="E41" i="49"/>
  <c r="H40" i="47"/>
  <c r="F122" i="49" l="1"/>
  <c r="I121" i="49"/>
  <c r="H121" i="49"/>
  <c r="H122" i="47"/>
  <c r="J122" i="47" s="1"/>
  <c r="J123" i="48"/>
  <c r="D125" i="48"/>
  <c r="B125" i="48" s="1"/>
  <c r="G124" i="48"/>
  <c r="E125" i="48"/>
  <c r="D124" i="47"/>
  <c r="G123" i="47"/>
  <c r="E124" i="47"/>
  <c r="I40" i="47"/>
  <c r="F40" i="48"/>
  <c r="H40" i="48" s="1"/>
  <c r="B40" i="48"/>
  <c r="B41" i="49"/>
  <c r="F41" i="49"/>
  <c r="E41" i="47"/>
  <c r="F41" i="47" s="1"/>
  <c r="H41" i="47" s="1"/>
  <c r="B41" i="47"/>
  <c r="J121" i="49" l="1"/>
  <c r="E123" i="49"/>
  <c r="G122" i="49"/>
  <c r="D123" i="49"/>
  <c r="F125" i="48"/>
  <c r="E126" i="48" s="1"/>
  <c r="H124" i="48"/>
  <c r="I124" i="48"/>
  <c r="I123" i="47"/>
  <c r="H123" i="47"/>
  <c r="B124" i="47"/>
  <c r="F124" i="47"/>
  <c r="G40" i="48"/>
  <c r="I40" i="48" s="1"/>
  <c r="D41" i="48"/>
  <c r="E41" i="48"/>
  <c r="D42" i="49"/>
  <c r="E42" i="49"/>
  <c r="G41" i="47"/>
  <c r="I41" i="47" s="1"/>
  <c r="D42" i="47"/>
  <c r="H41" i="49"/>
  <c r="G41" i="49"/>
  <c r="B123" i="49" l="1"/>
  <c r="F123" i="49"/>
  <c r="H122" i="49"/>
  <c r="I122" i="49"/>
  <c r="G125" i="48"/>
  <c r="H125" i="48" s="1"/>
  <c r="D126" i="48"/>
  <c r="F126" i="48" s="1"/>
  <c r="J124" i="48"/>
  <c r="G124" i="47"/>
  <c r="D125" i="47"/>
  <c r="E125" i="47"/>
  <c r="J123" i="47"/>
  <c r="I41" i="49"/>
  <c r="F41" i="48"/>
  <c r="B41" i="48"/>
  <c r="E42" i="47"/>
  <c r="F42" i="47" s="1"/>
  <c r="B42" i="47"/>
  <c r="B42" i="49"/>
  <c r="F42" i="49"/>
  <c r="H42" i="49" s="1"/>
  <c r="J122" i="49" l="1"/>
  <c r="B126" i="48"/>
  <c r="D124" i="49"/>
  <c r="E124" i="49"/>
  <c r="G123" i="49"/>
  <c r="I125" i="48"/>
  <c r="J125" i="48" s="1"/>
  <c r="G126" i="48"/>
  <c r="E127" i="48"/>
  <c r="D127" i="48"/>
  <c r="B127" i="48" s="1"/>
  <c r="F125" i="47"/>
  <c r="B125" i="47"/>
  <c r="I124" i="47"/>
  <c r="H124" i="47"/>
  <c r="D43" i="47"/>
  <c r="B43" i="47" s="1"/>
  <c r="H42" i="47"/>
  <c r="G42" i="47"/>
  <c r="H41" i="48"/>
  <c r="D42" i="48"/>
  <c r="E42" i="48"/>
  <c r="G42" i="49"/>
  <c r="I42" i="49" s="1"/>
  <c r="D43" i="49"/>
  <c r="G41" i="48"/>
  <c r="I123" i="49" l="1"/>
  <c r="H123" i="49"/>
  <c r="B124" i="49"/>
  <c r="F124" i="49"/>
  <c r="J124" i="47"/>
  <c r="F127" i="48"/>
  <c r="I126" i="48"/>
  <c r="H126" i="48"/>
  <c r="G125" i="47"/>
  <c r="E126" i="47"/>
  <c r="D126" i="47"/>
  <c r="B126" i="47" s="1"/>
  <c r="E43" i="47"/>
  <c r="F43" i="47" s="1"/>
  <c r="D44" i="47" s="1"/>
  <c r="E44" i="47" s="1"/>
  <c r="F44" i="47" s="1"/>
  <c r="H44" i="47" s="1"/>
  <c r="I41" i="48"/>
  <c r="I42" i="47"/>
  <c r="E43" i="49"/>
  <c r="F43" i="49" s="1"/>
  <c r="H43" i="49" s="1"/>
  <c r="B43" i="49"/>
  <c r="B42" i="48"/>
  <c r="F42" i="48"/>
  <c r="D125" i="49" l="1"/>
  <c r="G124" i="49"/>
  <c r="E125" i="49"/>
  <c r="J123" i="49"/>
  <c r="J126" i="48"/>
  <c r="G127" i="48"/>
  <c r="D128" i="48"/>
  <c r="B128" i="48" s="1"/>
  <c r="E128" i="48"/>
  <c r="F126" i="47"/>
  <c r="H125" i="47"/>
  <c r="I125" i="47"/>
  <c r="H43" i="47"/>
  <c r="B44" i="47"/>
  <c r="G43" i="47"/>
  <c r="G42" i="48"/>
  <c r="D43" i="48"/>
  <c r="E43" i="48"/>
  <c r="G44" i="47"/>
  <c r="I44" i="47" s="1"/>
  <c r="D45" i="47"/>
  <c r="G43" i="49"/>
  <c r="I43" i="49" s="1"/>
  <c r="D44" i="49"/>
  <c r="E44" i="49"/>
  <c r="H42" i="48"/>
  <c r="I124" i="49" l="1"/>
  <c r="H124" i="49"/>
  <c r="B125" i="49"/>
  <c r="F125" i="49"/>
  <c r="F128" i="48"/>
  <c r="E129" i="48" s="1"/>
  <c r="J125" i="47"/>
  <c r="I127" i="48"/>
  <c r="H127" i="48"/>
  <c r="D127" i="47"/>
  <c r="E127" i="47"/>
  <c r="G126" i="47"/>
  <c r="I43" i="47"/>
  <c r="I42" i="48"/>
  <c r="B44" i="49"/>
  <c r="F44" i="49"/>
  <c r="G44" i="49" s="1"/>
  <c r="F43" i="48"/>
  <c r="G43" i="48" s="1"/>
  <c r="B43" i="48"/>
  <c r="E45" i="47"/>
  <c r="F45" i="47" s="1"/>
  <c r="B45" i="47"/>
  <c r="D126" i="49" l="1"/>
  <c r="E126" i="49"/>
  <c r="G125" i="49"/>
  <c r="D129" i="48"/>
  <c r="F129" i="48" s="1"/>
  <c r="G128" i="48"/>
  <c r="H128" i="48" s="1"/>
  <c r="J124" i="49"/>
  <c r="J127" i="48"/>
  <c r="H126" i="47"/>
  <c r="I126" i="47"/>
  <c r="B127" i="47"/>
  <c r="F127" i="47"/>
  <c r="G45" i="47"/>
  <c r="D46" i="47"/>
  <c r="H45" i="47"/>
  <c r="H43" i="48"/>
  <c r="I43" i="48" s="1"/>
  <c r="D44" i="48"/>
  <c r="E44" i="48"/>
  <c r="H44" i="49"/>
  <c r="I44" i="49" s="1"/>
  <c r="D45" i="49"/>
  <c r="E45" i="49"/>
  <c r="B129" i="48" l="1"/>
  <c r="I128" i="48"/>
  <c r="J128" i="48" s="1"/>
  <c r="H125" i="49"/>
  <c r="I125" i="49"/>
  <c r="F126" i="49"/>
  <c r="B126" i="49"/>
  <c r="J126" i="47"/>
  <c r="D130" i="48"/>
  <c r="E130" i="48"/>
  <c r="G129" i="48"/>
  <c r="D128" i="47"/>
  <c r="G127" i="47"/>
  <c r="E128" i="47"/>
  <c r="I45" i="47"/>
  <c r="B45" i="49"/>
  <c r="F45" i="49"/>
  <c r="G45" i="49" s="1"/>
  <c r="F44" i="48"/>
  <c r="B44" i="48"/>
  <c r="E46" i="47"/>
  <c r="F46" i="47" s="1"/>
  <c r="B46" i="47"/>
  <c r="J125" i="49" l="1"/>
  <c r="G126" i="49"/>
  <c r="D127" i="49"/>
  <c r="E127" i="49"/>
  <c r="I129" i="48"/>
  <c r="H129" i="48"/>
  <c r="B130" i="48"/>
  <c r="F130" i="48"/>
  <c r="H127" i="47"/>
  <c r="I127" i="47"/>
  <c r="B128" i="47"/>
  <c r="F128" i="47"/>
  <c r="H45" i="49"/>
  <c r="I45" i="49" s="1"/>
  <c r="H46" i="47"/>
  <c r="D47" i="47"/>
  <c r="G46" i="47"/>
  <c r="D45" i="48"/>
  <c r="E45" i="48"/>
  <c r="G44" i="48"/>
  <c r="D46" i="49"/>
  <c r="E46" i="49"/>
  <c r="H44" i="48"/>
  <c r="F127" i="49" l="1"/>
  <c r="B127" i="49"/>
  <c r="I126" i="49"/>
  <c r="H126" i="49"/>
  <c r="J129" i="48"/>
  <c r="G130" i="48"/>
  <c r="D131" i="48"/>
  <c r="B131" i="48" s="1"/>
  <c r="E131" i="48"/>
  <c r="J127" i="47"/>
  <c r="D129" i="47"/>
  <c r="B129" i="47" s="1"/>
  <c r="G128" i="47"/>
  <c r="E129" i="47"/>
  <c r="I44" i="48"/>
  <c r="I46" i="47"/>
  <c r="B45" i="48"/>
  <c r="F45" i="48"/>
  <c r="H45" i="48" s="1"/>
  <c r="B46" i="49"/>
  <c r="F46" i="49"/>
  <c r="H46" i="49" s="1"/>
  <c r="E47" i="47"/>
  <c r="F47" i="47" s="1"/>
  <c r="B47" i="47"/>
  <c r="J126" i="49" l="1"/>
  <c r="G127" i="49"/>
  <c r="E128" i="49"/>
  <c r="D128" i="49"/>
  <c r="F131" i="48"/>
  <c r="H130" i="48"/>
  <c r="I130" i="48"/>
  <c r="F129" i="47"/>
  <c r="H128" i="47"/>
  <c r="I128" i="47"/>
  <c r="H47" i="47"/>
  <c r="D48" i="47"/>
  <c r="G47" i="47"/>
  <c r="G46" i="49"/>
  <c r="I46" i="49" s="1"/>
  <c r="D47" i="49"/>
  <c r="E47" i="49"/>
  <c r="G45" i="48"/>
  <c r="I45" i="48" s="1"/>
  <c r="D46" i="48"/>
  <c r="E46" i="48"/>
  <c r="F128" i="49" l="1"/>
  <c r="B128" i="49"/>
  <c r="I127" i="49"/>
  <c r="H127" i="49"/>
  <c r="J130" i="48"/>
  <c r="J155" i="48" s="1"/>
  <c r="J128" i="47"/>
  <c r="I47" i="47"/>
  <c r="D132" i="48"/>
  <c r="E132" i="48"/>
  <c r="G131" i="48"/>
  <c r="G129" i="47"/>
  <c r="D130" i="47"/>
  <c r="B130" i="47" s="1"/>
  <c r="E130" i="47"/>
  <c r="B46" i="48"/>
  <c r="F46" i="48"/>
  <c r="E48" i="47"/>
  <c r="F48" i="47" s="1"/>
  <c r="H48" i="47" s="1"/>
  <c r="B48" i="47"/>
  <c r="B47" i="49"/>
  <c r="F47" i="49"/>
  <c r="D48" i="49" s="1"/>
  <c r="J127" i="49" l="1"/>
  <c r="D129" i="49"/>
  <c r="G128" i="49"/>
  <c r="E129" i="49"/>
  <c r="H131" i="48"/>
  <c r="I131" i="48"/>
  <c r="B132" i="48"/>
  <c r="F132" i="48"/>
  <c r="F130" i="47"/>
  <c r="I129" i="47"/>
  <c r="H129" i="47"/>
  <c r="H47" i="49"/>
  <c r="E48" i="49"/>
  <c r="F48" i="49" s="1"/>
  <c r="B48" i="49"/>
  <c r="H46" i="48"/>
  <c r="D47" i="48"/>
  <c r="E47" i="48"/>
  <c r="G48" i="47"/>
  <c r="I48" i="47" s="1"/>
  <c r="D49" i="47"/>
  <c r="G47" i="49"/>
  <c r="G46" i="48"/>
  <c r="I128" i="49" l="1"/>
  <c r="H128" i="49"/>
  <c r="F129" i="49"/>
  <c r="B129" i="49"/>
  <c r="J129" i="47"/>
  <c r="D133" i="48"/>
  <c r="G132" i="48"/>
  <c r="E133" i="48"/>
  <c r="G130" i="47"/>
  <c r="D131" i="47"/>
  <c r="E131" i="47"/>
  <c r="I47" i="49"/>
  <c r="D49" i="49"/>
  <c r="B49" i="49" s="1"/>
  <c r="H48" i="49"/>
  <c r="F47" i="48"/>
  <c r="H47" i="48" s="1"/>
  <c r="B47" i="48"/>
  <c r="G48" i="49"/>
  <c r="E49" i="47"/>
  <c r="F49" i="47" s="1"/>
  <c r="H49" i="47" s="1"/>
  <c r="B49" i="47"/>
  <c r="E49" i="49"/>
  <c r="I46" i="48"/>
  <c r="G129" i="49" l="1"/>
  <c r="D130" i="49"/>
  <c r="E130" i="49"/>
  <c r="J128" i="49"/>
  <c r="B133" i="48"/>
  <c r="F133" i="48"/>
  <c r="H132" i="48"/>
  <c r="I132" i="48"/>
  <c r="B131" i="47"/>
  <c r="F131" i="47"/>
  <c r="H130" i="47"/>
  <c r="I130" i="47"/>
  <c r="I48" i="49"/>
  <c r="F49" i="49"/>
  <c r="G49" i="49" s="1"/>
  <c r="G47" i="48"/>
  <c r="I47" i="48" s="1"/>
  <c r="G49" i="47"/>
  <c r="I49" i="47" s="1"/>
  <c r="D50" i="47"/>
  <c r="D48" i="48"/>
  <c r="E48" i="48"/>
  <c r="B130" i="49" l="1"/>
  <c r="F130" i="49"/>
  <c r="I129" i="49"/>
  <c r="H129" i="49"/>
  <c r="J130" i="47"/>
  <c r="J155" i="47" s="1"/>
  <c r="G133" i="48"/>
  <c r="E134" i="48"/>
  <c r="D134" i="48"/>
  <c r="B134" i="48" s="1"/>
  <c r="D132" i="47"/>
  <c r="B132" i="47" s="1"/>
  <c r="G131" i="47"/>
  <c r="E132" i="47"/>
  <c r="D50" i="49"/>
  <c r="B50" i="49" s="1"/>
  <c r="H49" i="49"/>
  <c r="I49" i="49" s="1"/>
  <c r="E50" i="49"/>
  <c r="B48" i="48"/>
  <c r="F48" i="48"/>
  <c r="G48" i="48" s="1"/>
  <c r="E50" i="47"/>
  <c r="F50" i="47" s="1"/>
  <c r="B50" i="47"/>
  <c r="J129" i="49" l="1"/>
  <c r="G130" i="49"/>
  <c r="D131" i="49"/>
  <c r="E131" i="49"/>
  <c r="H133" i="48"/>
  <c r="I133" i="48"/>
  <c r="F134" i="48"/>
  <c r="F132" i="47"/>
  <c r="E133" i="47" s="1"/>
  <c r="H131" i="47"/>
  <c r="I131" i="47"/>
  <c r="F50" i="49"/>
  <c r="H50" i="49" s="1"/>
  <c r="H50" i="47"/>
  <c r="D51" i="47"/>
  <c r="H48" i="48"/>
  <c r="I48" i="48" s="1"/>
  <c r="D49" i="48"/>
  <c r="E49" i="48"/>
  <c r="G50" i="47"/>
  <c r="B131" i="49" l="1"/>
  <c r="F131" i="49"/>
  <c r="I130" i="49"/>
  <c r="H130" i="49"/>
  <c r="G132" i="47"/>
  <c r="I132" i="47" s="1"/>
  <c r="D133" i="47"/>
  <c r="B133" i="47" s="1"/>
  <c r="E135" i="48"/>
  <c r="G134" i="48"/>
  <c r="D135" i="48"/>
  <c r="B135" i="48" s="1"/>
  <c r="E51" i="49"/>
  <c r="D51" i="49"/>
  <c r="B51" i="49" s="1"/>
  <c r="G50" i="49"/>
  <c r="I50" i="49" s="1"/>
  <c r="E51" i="47"/>
  <c r="F51" i="47" s="1"/>
  <c r="H51" i="47" s="1"/>
  <c r="B51" i="47"/>
  <c r="I50" i="47"/>
  <c r="F49" i="48"/>
  <c r="G49" i="48" s="1"/>
  <c r="B49" i="48"/>
  <c r="H132" i="47" l="1"/>
  <c r="J130" i="49"/>
  <c r="J155" i="49" s="1"/>
  <c r="E132" i="49"/>
  <c r="D132" i="49"/>
  <c r="G131" i="49"/>
  <c r="F133" i="47"/>
  <c r="E134" i="47" s="1"/>
  <c r="I134" i="48"/>
  <c r="H134" i="48"/>
  <c r="F135" i="48"/>
  <c r="F51" i="49"/>
  <c r="G51" i="49" s="1"/>
  <c r="G51" i="47"/>
  <c r="I51" i="47" s="1"/>
  <c r="D52" i="47"/>
  <c r="H49" i="48"/>
  <c r="I49" i="48" s="1"/>
  <c r="D50" i="48"/>
  <c r="E50" i="48"/>
  <c r="H131" i="49" l="1"/>
  <c r="I131" i="49"/>
  <c r="F132" i="49"/>
  <c r="B132" i="49"/>
  <c r="G133" i="47"/>
  <c r="I133" i="47" s="1"/>
  <c r="D134" i="47"/>
  <c r="B134" i="47" s="1"/>
  <c r="H51" i="49"/>
  <c r="I51" i="49" s="1"/>
  <c r="G135" i="48"/>
  <c r="E136" i="48"/>
  <c r="D136" i="48"/>
  <c r="E52" i="49"/>
  <c r="D52" i="49"/>
  <c r="E52" i="47"/>
  <c r="F52" i="47" s="1"/>
  <c r="B52" i="47"/>
  <c r="F50" i="48"/>
  <c r="G50" i="48" s="1"/>
  <c r="B50" i="48"/>
  <c r="F134" i="47" l="1"/>
  <c r="G134" i="47" s="1"/>
  <c r="D133" i="49"/>
  <c r="E133" i="49"/>
  <c r="G132" i="49"/>
  <c r="H133" i="47"/>
  <c r="F52" i="49"/>
  <c r="G52" i="49" s="1"/>
  <c r="B136" i="48"/>
  <c r="F136" i="48"/>
  <c r="I135" i="48"/>
  <c r="H135" i="48"/>
  <c r="B52" i="49"/>
  <c r="G52" i="47"/>
  <c r="D53" i="47"/>
  <c r="H52" i="47"/>
  <c r="H50" i="48"/>
  <c r="I50" i="48" s="1"/>
  <c r="D51" i="48"/>
  <c r="E51" i="48"/>
  <c r="D135" i="47" l="1"/>
  <c r="B135" i="47" s="1"/>
  <c r="E135" i="47"/>
  <c r="I132" i="49"/>
  <c r="H132" i="49"/>
  <c r="F133" i="49"/>
  <c r="B133" i="49"/>
  <c r="E53" i="49"/>
  <c r="D53" i="49"/>
  <c r="H52" i="49"/>
  <c r="I52" i="49" s="1"/>
  <c r="D137" i="48"/>
  <c r="B137" i="48" s="1"/>
  <c r="G136" i="48"/>
  <c r="E137" i="48"/>
  <c r="I134" i="47"/>
  <c r="H134" i="47"/>
  <c r="I52" i="47"/>
  <c r="F51" i="48"/>
  <c r="G51" i="48" s="1"/>
  <c r="B51" i="48"/>
  <c r="E53" i="47"/>
  <c r="F53" i="47" s="1"/>
  <c r="B53" i="47"/>
  <c r="F53" i="49" l="1"/>
  <c r="H53" i="49" s="1"/>
  <c r="F135" i="47"/>
  <c r="E136" i="47" s="1"/>
  <c r="D134" i="49"/>
  <c r="G133" i="49"/>
  <c r="E134" i="49"/>
  <c r="B53" i="49"/>
  <c r="F137" i="48"/>
  <c r="G137" i="48" s="1"/>
  <c r="H136" i="48"/>
  <c r="I136" i="48"/>
  <c r="H53" i="47"/>
  <c r="D54" i="47"/>
  <c r="G53" i="47"/>
  <c r="H51" i="48"/>
  <c r="I51" i="48" s="1"/>
  <c r="D52" i="48"/>
  <c r="E52" i="48"/>
  <c r="G53" i="49" l="1"/>
  <c r="E54" i="49"/>
  <c r="D54" i="49"/>
  <c r="F54" i="49" s="1"/>
  <c r="G54" i="49" s="1"/>
  <c r="G135" i="47"/>
  <c r="D136" i="47"/>
  <c r="F136" i="47" s="1"/>
  <c r="H133" i="49"/>
  <c r="I133" i="49"/>
  <c r="B134" i="49"/>
  <c r="F134" i="49"/>
  <c r="E138" i="48"/>
  <c r="D138" i="48"/>
  <c r="H137" i="48"/>
  <c r="I137" i="48"/>
  <c r="H135" i="47"/>
  <c r="I135" i="47"/>
  <c r="B52" i="48"/>
  <c r="F52" i="48"/>
  <c r="G52" i="48" s="1"/>
  <c r="I53" i="47"/>
  <c r="E54" i="47"/>
  <c r="F54" i="47" s="1"/>
  <c r="G54" i="47" s="1"/>
  <c r="B54" i="47"/>
  <c r="B54" i="49"/>
  <c r="I53" i="49"/>
  <c r="B136" i="47" l="1"/>
  <c r="F138" i="48"/>
  <c r="D139" i="48" s="1"/>
  <c r="B138" i="48"/>
  <c r="G134" i="49"/>
  <c r="E135" i="49"/>
  <c r="D135" i="49"/>
  <c r="E137" i="47"/>
  <c r="D137" i="47"/>
  <c r="G136" i="47"/>
  <c r="H54" i="49"/>
  <c r="I54" i="49" s="1"/>
  <c r="D55" i="49"/>
  <c r="E55" i="49"/>
  <c r="H52" i="48"/>
  <c r="I52" i="48" s="1"/>
  <c r="D53" i="48"/>
  <c r="E53" i="48"/>
  <c r="H54" i="47"/>
  <c r="I54" i="47" s="1"/>
  <c r="D55" i="47"/>
  <c r="E139" i="48" l="1"/>
  <c r="F139" i="48" s="1"/>
  <c r="G138" i="48"/>
  <c r="H138" i="48" s="1"/>
  <c r="B135" i="49"/>
  <c r="F135" i="49"/>
  <c r="I134" i="49"/>
  <c r="H134" i="49"/>
  <c r="B139" i="48"/>
  <c r="I138" i="48"/>
  <c r="H136" i="47"/>
  <c r="I136" i="47"/>
  <c r="F137" i="47"/>
  <c r="B137" i="47"/>
  <c r="B53" i="48"/>
  <c r="F53" i="48"/>
  <c r="G53" i="48" s="1"/>
  <c r="F55" i="49"/>
  <c r="G55" i="49" s="1"/>
  <c r="B55" i="49"/>
  <c r="E55" i="47"/>
  <c r="F55" i="47" s="1"/>
  <c r="B55" i="47"/>
  <c r="D136" i="49" l="1"/>
  <c r="E136" i="49"/>
  <c r="G135" i="49"/>
  <c r="G139" i="48"/>
  <c r="E140" i="48"/>
  <c r="D140" i="48"/>
  <c r="G137" i="47"/>
  <c r="D138" i="47"/>
  <c r="B138" i="47" s="1"/>
  <c r="E138" i="47"/>
  <c r="D56" i="47"/>
  <c r="G55" i="47"/>
  <c r="H55" i="47"/>
  <c r="H55" i="49"/>
  <c r="I55" i="49" s="1"/>
  <c r="D56" i="49"/>
  <c r="E56" i="49"/>
  <c r="H53" i="48"/>
  <c r="I53" i="48" s="1"/>
  <c r="D54" i="48"/>
  <c r="E54" i="48"/>
  <c r="H135" i="49" l="1"/>
  <c r="I135" i="49"/>
  <c r="B136" i="49"/>
  <c r="F136" i="49"/>
  <c r="F138" i="47"/>
  <c r="G138" i="47" s="1"/>
  <c r="B140" i="48"/>
  <c r="F140" i="48"/>
  <c r="H139" i="48"/>
  <c r="I139" i="48"/>
  <c r="H137" i="47"/>
  <c r="I137" i="47"/>
  <c r="I55" i="47"/>
  <c r="E56" i="47"/>
  <c r="F56" i="47" s="1"/>
  <c r="B56" i="47"/>
  <c r="B54" i="48"/>
  <c r="F54" i="48"/>
  <c r="G54" i="48" s="1"/>
  <c r="F56" i="49"/>
  <c r="G56" i="49" s="1"/>
  <c r="B56" i="49"/>
  <c r="E139" i="47" l="1"/>
  <c r="D139" i="47"/>
  <c r="B139" i="47" s="1"/>
  <c r="G136" i="49"/>
  <c r="E137" i="49"/>
  <c r="D137" i="49"/>
  <c r="D141" i="48"/>
  <c r="B141" i="48" s="1"/>
  <c r="G140" i="48"/>
  <c r="H138" i="47"/>
  <c r="I138" i="47"/>
  <c r="G56" i="47"/>
  <c r="D57" i="47"/>
  <c r="H56" i="47"/>
  <c r="H56" i="49"/>
  <c r="I56" i="49" s="1"/>
  <c r="D57" i="49"/>
  <c r="E57" i="49"/>
  <c r="H54" i="48"/>
  <c r="I54" i="48" s="1"/>
  <c r="D55" i="48"/>
  <c r="E55" i="48"/>
  <c r="F139" i="47" l="1"/>
  <c r="D140" i="47" s="1"/>
  <c r="B140" i="47" s="1"/>
  <c r="B137" i="49"/>
  <c r="F137" i="49"/>
  <c r="E141" i="48"/>
  <c r="F141" i="48" s="1"/>
  <c r="G141" i="48" s="1"/>
  <c r="H136" i="49"/>
  <c r="I136" i="49"/>
  <c r="I140" i="48"/>
  <c r="H140" i="48"/>
  <c r="I56" i="47"/>
  <c r="F55" i="48"/>
  <c r="H55" i="48" s="1"/>
  <c r="B55" i="48"/>
  <c r="E57" i="47"/>
  <c r="F57" i="47" s="1"/>
  <c r="B57" i="47"/>
  <c r="B57" i="49"/>
  <c r="F57" i="49"/>
  <c r="H57" i="49" s="1"/>
  <c r="E140" i="47" l="1"/>
  <c r="F140" i="47" s="1"/>
  <c r="G140" i="47" s="1"/>
  <c r="G139" i="47"/>
  <c r="H139" i="47" s="1"/>
  <c r="D142" i="48"/>
  <c r="B142" i="48" s="1"/>
  <c r="G137" i="49"/>
  <c r="E138" i="49"/>
  <c r="D138" i="49"/>
  <c r="I139" i="47"/>
  <c r="I141" i="48"/>
  <c r="H141" i="48"/>
  <c r="G55" i="48"/>
  <c r="I55" i="48" s="1"/>
  <c r="D58" i="47"/>
  <c r="H57" i="47"/>
  <c r="G57" i="47"/>
  <c r="G57" i="49"/>
  <c r="I57" i="49" s="1"/>
  <c r="D58" i="49"/>
  <c r="D56" i="48"/>
  <c r="E56" i="48"/>
  <c r="E142" i="48" l="1"/>
  <c r="F142" i="48" s="1"/>
  <c r="D141" i="47"/>
  <c r="B141" i="47" s="1"/>
  <c r="E141" i="47"/>
  <c r="B138" i="49"/>
  <c r="F138" i="49"/>
  <c r="H137" i="49"/>
  <c r="I137" i="49"/>
  <c r="G142" i="48"/>
  <c r="D143" i="48"/>
  <c r="B143" i="48" s="1"/>
  <c r="I140" i="47"/>
  <c r="H140" i="47"/>
  <c r="E58" i="49"/>
  <c r="F58" i="49" s="1"/>
  <c r="B58" i="49"/>
  <c r="B56" i="48"/>
  <c r="F56" i="48"/>
  <c r="G56" i="48" s="1"/>
  <c r="I57" i="47"/>
  <c r="E58" i="47"/>
  <c r="F58" i="47" s="1"/>
  <c r="B58" i="47"/>
  <c r="F141" i="47" l="1"/>
  <c r="E139" i="49"/>
  <c r="D139" i="49"/>
  <c r="G138" i="49"/>
  <c r="E143" i="48"/>
  <c r="F143" i="48" s="1"/>
  <c r="I142" i="48"/>
  <c r="H142" i="48"/>
  <c r="D142" i="47"/>
  <c r="B142" i="47" s="1"/>
  <c r="G141" i="47"/>
  <c r="H58" i="47"/>
  <c r="D59" i="47"/>
  <c r="G58" i="47"/>
  <c r="D59" i="49"/>
  <c r="G58" i="49"/>
  <c r="H58" i="49"/>
  <c r="H56" i="48"/>
  <c r="I56" i="48" s="1"/>
  <c r="D57" i="48"/>
  <c r="E57" i="48"/>
  <c r="I138" i="49" l="1"/>
  <c r="H138" i="49"/>
  <c r="F139" i="49"/>
  <c r="B139" i="49"/>
  <c r="E142" i="47"/>
  <c r="F142" i="47" s="1"/>
  <c r="G142" i="47" s="1"/>
  <c r="G143" i="48"/>
  <c r="D144" i="48"/>
  <c r="B144" i="48" s="1"/>
  <c r="I141" i="47"/>
  <c r="H141" i="47"/>
  <c r="I58" i="47"/>
  <c r="I58" i="49"/>
  <c r="E59" i="49"/>
  <c r="F59" i="49" s="1"/>
  <c r="G59" i="49" s="1"/>
  <c r="B59" i="49"/>
  <c r="B57" i="48"/>
  <c r="F57" i="48"/>
  <c r="D58" i="48" s="1"/>
  <c r="E59" i="47"/>
  <c r="F59" i="47" s="1"/>
  <c r="G59" i="47" s="1"/>
  <c r="B59" i="47"/>
  <c r="D140" i="49" l="1"/>
  <c r="G139" i="49"/>
  <c r="E140" i="49"/>
  <c r="I143" i="48"/>
  <c r="H143" i="48"/>
  <c r="D143" i="47"/>
  <c r="B143" i="47" s="1"/>
  <c r="E144" i="48"/>
  <c r="F144" i="48" s="1"/>
  <c r="I142" i="47"/>
  <c r="H142" i="47"/>
  <c r="G57" i="48"/>
  <c r="H57" i="48"/>
  <c r="E58" i="48"/>
  <c r="F58" i="48" s="1"/>
  <c r="B58" i="48"/>
  <c r="H59" i="47"/>
  <c r="I59" i="47" s="1"/>
  <c r="D60" i="47"/>
  <c r="H59" i="49"/>
  <c r="I59" i="49" s="1"/>
  <c r="D60" i="49"/>
  <c r="I139" i="49" l="1"/>
  <c r="H139" i="49"/>
  <c r="B140" i="49"/>
  <c r="F140" i="49"/>
  <c r="G144" i="48"/>
  <c r="D145" i="48"/>
  <c r="B145" i="48" s="1"/>
  <c r="E143" i="47"/>
  <c r="F143" i="47" s="1"/>
  <c r="I57" i="48"/>
  <c r="H58" i="48"/>
  <c r="D59" i="48"/>
  <c r="E59" i="48" s="1"/>
  <c r="F59" i="48" s="1"/>
  <c r="D60" i="48" s="1"/>
  <c r="G58" i="48"/>
  <c r="B60" i="47"/>
  <c r="E60" i="49"/>
  <c r="F60" i="49" s="1"/>
  <c r="G60" i="49" s="1"/>
  <c r="B60" i="49"/>
  <c r="E60" i="47"/>
  <c r="F60" i="47" s="1"/>
  <c r="D61" i="47" s="1"/>
  <c r="G140" i="49" l="1"/>
  <c r="D141" i="49"/>
  <c r="B141" i="49" s="1"/>
  <c r="G143" i="47"/>
  <c r="D144" i="47"/>
  <c r="B144" i="47" s="1"/>
  <c r="E145" i="48"/>
  <c r="F145" i="48" s="1"/>
  <c r="I144" i="48"/>
  <c r="H144" i="48"/>
  <c r="G60" i="47"/>
  <c r="H60" i="47"/>
  <c r="B59" i="48"/>
  <c r="H59" i="48"/>
  <c r="G59" i="48"/>
  <c r="H60" i="49"/>
  <c r="I60" i="49" s="1"/>
  <c r="D61" i="49"/>
  <c r="E61" i="49" s="1"/>
  <c r="F61" i="49" s="1"/>
  <c r="D62" i="49" s="1"/>
  <c r="E61" i="47"/>
  <c r="F61" i="47" s="1"/>
  <c r="B61" i="47"/>
  <c r="I58" i="48"/>
  <c r="E60" i="48"/>
  <c r="F60" i="48" s="1"/>
  <c r="B60" i="48"/>
  <c r="E141" i="49" l="1"/>
  <c r="F141" i="49" s="1"/>
  <c r="G141" i="49" s="1"/>
  <c r="I140" i="49"/>
  <c r="H140" i="49"/>
  <c r="E144" i="47"/>
  <c r="F144" i="47" s="1"/>
  <c r="D145" i="47" s="1"/>
  <c r="B145" i="47" s="1"/>
  <c r="G145" i="48"/>
  <c r="D146" i="48"/>
  <c r="B146" i="48" s="1"/>
  <c r="H143" i="47"/>
  <c r="I143" i="47"/>
  <c r="I60" i="47"/>
  <c r="I59" i="48"/>
  <c r="D61" i="48"/>
  <c r="E61" i="48" s="1"/>
  <c r="G60" i="48"/>
  <c r="H61" i="47"/>
  <c r="D62" i="47"/>
  <c r="G61" i="47"/>
  <c r="E62" i="49"/>
  <c r="F62" i="49" s="1"/>
  <c r="B62" i="49"/>
  <c r="B61" i="49"/>
  <c r="G61" i="49"/>
  <c r="H61" i="49"/>
  <c r="H60" i="48"/>
  <c r="D142" i="49" l="1"/>
  <c r="B142" i="49" s="1"/>
  <c r="I141" i="49"/>
  <c r="H141" i="49"/>
  <c r="G144" i="47"/>
  <c r="I144" i="47" s="1"/>
  <c r="E145" i="47"/>
  <c r="F145" i="47" s="1"/>
  <c r="E146" i="48"/>
  <c r="F146" i="48" s="1"/>
  <c r="H145" i="48"/>
  <c r="I145" i="48"/>
  <c r="I61" i="47"/>
  <c r="I61" i="49"/>
  <c r="I60" i="48"/>
  <c r="D63" i="49"/>
  <c r="B63" i="49" s="1"/>
  <c r="G62" i="49"/>
  <c r="H62" i="49"/>
  <c r="B61" i="48"/>
  <c r="F61" i="48"/>
  <c r="H61" i="48" s="1"/>
  <c r="E62" i="47"/>
  <c r="F62" i="47" s="1"/>
  <c r="G62" i="47" s="1"/>
  <c r="B62" i="47"/>
  <c r="E142" i="49" l="1"/>
  <c r="F142" i="49" s="1"/>
  <c r="G142" i="49" s="1"/>
  <c r="I142" i="49" s="1"/>
  <c r="H144" i="47"/>
  <c r="G146" i="48"/>
  <c r="D147" i="48"/>
  <c r="B147" i="48" s="1"/>
  <c r="D146" i="47"/>
  <c r="B146" i="47" s="1"/>
  <c r="G145" i="47"/>
  <c r="G61" i="48"/>
  <c r="I61" i="48" s="1"/>
  <c r="E63" i="49"/>
  <c r="F63" i="49" s="1"/>
  <c r="G63" i="49" s="1"/>
  <c r="I62" i="49"/>
  <c r="D62" i="48"/>
  <c r="E62" i="48" s="1"/>
  <c r="F62" i="48" s="1"/>
  <c r="H62" i="47"/>
  <c r="I62" i="47" s="1"/>
  <c r="D63" i="47"/>
  <c r="H142" i="49" l="1"/>
  <c r="D143" i="49"/>
  <c r="B143" i="49" s="1"/>
  <c r="E147" i="48"/>
  <c r="F147" i="48" s="1"/>
  <c r="D148" i="48" s="1"/>
  <c r="B148" i="48" s="1"/>
  <c r="E146" i="47"/>
  <c r="F146" i="47" s="1"/>
  <c r="G146" i="47" s="1"/>
  <c r="H145" i="47"/>
  <c r="I145" i="47"/>
  <c r="I146" i="48"/>
  <c r="H146" i="48"/>
  <c r="D64" i="49"/>
  <c r="E64" i="49" s="1"/>
  <c r="F64" i="49" s="1"/>
  <c r="D65" i="49" s="1"/>
  <c r="B65" i="49" s="1"/>
  <c r="H63" i="49"/>
  <c r="I63" i="49" s="1"/>
  <c r="D63" i="48"/>
  <c r="E63" i="48" s="1"/>
  <c r="G62" i="48"/>
  <c r="H62" i="48"/>
  <c r="B62" i="48"/>
  <c r="E63" i="47"/>
  <c r="F63" i="47" s="1"/>
  <c r="G63" i="47" s="1"/>
  <c r="B63" i="47"/>
  <c r="E143" i="49" l="1"/>
  <c r="F143" i="49" s="1"/>
  <c r="D144" i="49" s="1"/>
  <c r="B144" i="49" s="1"/>
  <c r="D147" i="47"/>
  <c r="B147" i="47" s="1"/>
  <c r="G147" i="48"/>
  <c r="I147" i="48" s="1"/>
  <c r="H146" i="47"/>
  <c r="I146" i="47"/>
  <c r="E148" i="48"/>
  <c r="F148" i="48" s="1"/>
  <c r="G64" i="49"/>
  <c r="H64" i="49"/>
  <c r="B64" i="49"/>
  <c r="E65" i="49"/>
  <c r="F65" i="49" s="1"/>
  <c r="G65" i="49" s="1"/>
  <c r="I62" i="48"/>
  <c r="F63" i="48"/>
  <c r="B63" i="48"/>
  <c r="H63" i="47"/>
  <c r="I63" i="47" s="1"/>
  <c r="D64" i="47"/>
  <c r="G143" i="49" l="1"/>
  <c r="I143" i="49" s="1"/>
  <c r="E144" i="49"/>
  <c r="F144" i="49" s="1"/>
  <c r="G144" i="49" s="1"/>
  <c r="E147" i="47"/>
  <c r="F147" i="47" s="1"/>
  <c r="D148" i="47" s="1"/>
  <c r="B148" i="47" s="1"/>
  <c r="H147" i="48"/>
  <c r="I64" i="49"/>
  <c r="D149" i="48"/>
  <c r="B149" i="48" s="1"/>
  <c r="G148" i="48"/>
  <c r="H65" i="49"/>
  <c r="I65" i="49" s="1"/>
  <c r="D66" i="49"/>
  <c r="E66" i="49" s="1"/>
  <c r="D64" i="48"/>
  <c r="G63" i="48"/>
  <c r="H63" i="48"/>
  <c r="E64" i="47"/>
  <c r="F64" i="47" s="1"/>
  <c r="B64" i="47"/>
  <c r="H143" i="49" l="1"/>
  <c r="D145" i="49"/>
  <c r="B145" i="49" s="1"/>
  <c r="G147" i="47"/>
  <c r="H147" i="47" s="1"/>
  <c r="H144" i="49"/>
  <c r="I144" i="49"/>
  <c r="E149" i="48"/>
  <c r="F149" i="48" s="1"/>
  <c r="G149" i="48" s="1"/>
  <c r="E148" i="47"/>
  <c r="F148" i="47" s="1"/>
  <c r="H148" i="48"/>
  <c r="I148" i="48"/>
  <c r="B66" i="49"/>
  <c r="F66" i="49"/>
  <c r="H66" i="49" s="1"/>
  <c r="I63" i="48"/>
  <c r="E64" i="48"/>
  <c r="F64" i="48" s="1"/>
  <c r="B64" i="48"/>
  <c r="H64" i="47"/>
  <c r="D65" i="47"/>
  <c r="G64" i="47"/>
  <c r="I147" i="47" l="1"/>
  <c r="E145" i="49"/>
  <c r="F145" i="49" s="1"/>
  <c r="D146" i="49" s="1"/>
  <c r="D150" i="48"/>
  <c r="B150" i="48" s="1"/>
  <c r="D149" i="47"/>
  <c r="B149" i="47" s="1"/>
  <c r="G148" i="47"/>
  <c r="H149" i="48"/>
  <c r="I149" i="48"/>
  <c r="D67" i="49"/>
  <c r="E67" i="49" s="1"/>
  <c r="F67" i="49" s="1"/>
  <c r="D68" i="49" s="1"/>
  <c r="B68" i="49" s="1"/>
  <c r="I64" i="47"/>
  <c r="G66" i="49"/>
  <c r="I66" i="49" s="1"/>
  <c r="G64" i="48"/>
  <c r="H64" i="48"/>
  <c r="D65" i="48"/>
  <c r="B65" i="48" s="1"/>
  <c r="E65" i="47"/>
  <c r="F65" i="47" s="1"/>
  <c r="B65" i="47"/>
  <c r="G145" i="49" l="1"/>
  <c r="H145" i="49" s="1"/>
  <c r="E150" i="48"/>
  <c r="F150" i="48" s="1"/>
  <c r="D151" i="48" s="1"/>
  <c r="B151" i="48" s="1"/>
  <c r="B146" i="49"/>
  <c r="E146" i="49"/>
  <c r="F146" i="49" s="1"/>
  <c r="E149" i="47"/>
  <c r="F149" i="47" s="1"/>
  <c r="D150" i="47" s="1"/>
  <c r="B150" i="47" s="1"/>
  <c r="H148" i="47"/>
  <c r="I148" i="47"/>
  <c r="B67" i="49"/>
  <c r="E68" i="49"/>
  <c r="F68" i="49" s="1"/>
  <c r="H68" i="49" s="1"/>
  <c r="G67" i="49"/>
  <c r="H67" i="49"/>
  <c r="I64" i="48"/>
  <c r="E65" i="48"/>
  <c r="F65" i="48" s="1"/>
  <c r="G65" i="47"/>
  <c r="D66" i="47"/>
  <c r="E66" i="47" s="1"/>
  <c r="F66" i="47" s="1"/>
  <c r="D67" i="47" s="1"/>
  <c r="H65" i="47"/>
  <c r="I145" i="49" l="1"/>
  <c r="E151" i="48"/>
  <c r="F151" i="48" s="1"/>
  <c r="G151" i="48" s="1"/>
  <c r="H151" i="48" s="1"/>
  <c r="G150" i="48"/>
  <c r="I150" i="48" s="1"/>
  <c r="G146" i="49"/>
  <c r="D147" i="49"/>
  <c r="B147" i="49" s="1"/>
  <c r="E150" i="47"/>
  <c r="F150" i="47" s="1"/>
  <c r="D151" i="47" s="1"/>
  <c r="B151" i="47" s="1"/>
  <c r="G149" i="47"/>
  <c r="I149" i="47" s="1"/>
  <c r="D69" i="49"/>
  <c r="B69" i="49" s="1"/>
  <c r="I67" i="49"/>
  <c r="G68" i="49"/>
  <c r="I68" i="49" s="1"/>
  <c r="D66" i="48"/>
  <c r="H65" i="48"/>
  <c r="G65" i="48"/>
  <c r="I65" i="47"/>
  <c r="E67" i="47"/>
  <c r="F67" i="47" s="1"/>
  <c r="B67" i="47"/>
  <c r="B66" i="47"/>
  <c r="G66" i="47"/>
  <c r="H66" i="47"/>
  <c r="I151" i="48" l="1"/>
  <c r="D152" i="48"/>
  <c r="B152" i="48" s="1"/>
  <c r="H150" i="48"/>
  <c r="E147" i="49"/>
  <c r="F147" i="49" s="1"/>
  <c r="D148" i="49" s="1"/>
  <c r="B148" i="49" s="1"/>
  <c r="G150" i="47"/>
  <c r="I150" i="47" s="1"/>
  <c r="H146" i="49"/>
  <c r="I146" i="49"/>
  <c r="E69" i="49"/>
  <c r="F69" i="49" s="1"/>
  <c r="H69" i="49" s="1"/>
  <c r="H149" i="47"/>
  <c r="E151" i="47"/>
  <c r="F151" i="47" s="1"/>
  <c r="I66" i="47"/>
  <c r="B66" i="48"/>
  <c r="E66" i="48"/>
  <c r="F66" i="48" s="1"/>
  <c r="I65" i="48"/>
  <c r="D68" i="47"/>
  <c r="H67" i="47"/>
  <c r="G67" i="47"/>
  <c r="E152" i="48" l="1"/>
  <c r="F152" i="48" s="1"/>
  <c r="G147" i="49"/>
  <c r="I147" i="49" s="1"/>
  <c r="H150" i="47"/>
  <c r="G69" i="49"/>
  <c r="I69" i="49" s="1"/>
  <c r="D70" i="49"/>
  <c r="E70" i="49" s="1"/>
  <c r="F70" i="49" s="1"/>
  <c r="H70" i="49" s="1"/>
  <c r="E148" i="49"/>
  <c r="F148" i="49" s="1"/>
  <c r="D153" i="48"/>
  <c r="G152" i="48"/>
  <c r="G151" i="47"/>
  <c r="D152" i="47"/>
  <c r="B152" i="47" s="1"/>
  <c r="D67" i="48"/>
  <c r="H66" i="48"/>
  <c r="G66" i="48"/>
  <c r="I67" i="47"/>
  <c r="E68" i="47"/>
  <c r="F68" i="47" s="1"/>
  <c r="H68" i="47" s="1"/>
  <c r="B68" i="47"/>
  <c r="B70" i="49" l="1"/>
  <c r="H147" i="49"/>
  <c r="D149" i="49"/>
  <c r="B149" i="49" s="1"/>
  <c r="G148" i="49"/>
  <c r="I152" i="48"/>
  <c r="H152" i="48"/>
  <c r="B153" i="48"/>
  <c r="E153" i="48"/>
  <c r="F153" i="48" s="1"/>
  <c r="E152" i="47"/>
  <c r="F152" i="47" s="1"/>
  <c r="D153" i="47" s="1"/>
  <c r="B153" i="47" s="1"/>
  <c r="I151" i="47"/>
  <c r="H151" i="47"/>
  <c r="I66" i="48"/>
  <c r="B67" i="48"/>
  <c r="E67" i="48"/>
  <c r="F67" i="48" s="1"/>
  <c r="G70" i="49"/>
  <c r="I70" i="49" s="1"/>
  <c r="D71" i="49"/>
  <c r="G68" i="47"/>
  <c r="I68" i="47" s="1"/>
  <c r="D69" i="47"/>
  <c r="E149" i="49" l="1"/>
  <c r="F149" i="49" s="1"/>
  <c r="D150" i="49" s="1"/>
  <c r="B150" i="49" s="1"/>
  <c r="I148" i="49"/>
  <c r="H148" i="49"/>
  <c r="G152" i="47"/>
  <c r="H152" i="47" s="1"/>
  <c r="G153" i="48"/>
  <c r="D154" i="48"/>
  <c r="E153" i="47"/>
  <c r="F153" i="47" s="1"/>
  <c r="D68" i="48"/>
  <c r="E68" i="48" s="1"/>
  <c r="F68" i="48" s="1"/>
  <c r="H67" i="48"/>
  <c r="G67" i="48"/>
  <c r="E69" i="47"/>
  <c r="F69" i="47" s="1"/>
  <c r="B69" i="47"/>
  <c r="E71" i="49"/>
  <c r="F71" i="49" s="1"/>
  <c r="H71" i="49" s="1"/>
  <c r="B71" i="49"/>
  <c r="E150" i="49" l="1"/>
  <c r="F150" i="49" s="1"/>
  <c r="D151" i="49" s="1"/>
  <c r="B151" i="49" s="1"/>
  <c r="G149" i="49"/>
  <c r="H149" i="49" s="1"/>
  <c r="I152" i="47"/>
  <c r="E154" i="48"/>
  <c r="E155" i="48" s="1"/>
  <c r="B154" i="48"/>
  <c r="I153" i="48"/>
  <c r="H153" i="48"/>
  <c r="G153" i="47"/>
  <c r="D154" i="47"/>
  <c r="E154" i="47" s="1"/>
  <c r="E155" i="47" s="1"/>
  <c r="I67" i="48"/>
  <c r="D69" i="48"/>
  <c r="E69" i="48" s="1"/>
  <c r="B68" i="48"/>
  <c r="G68" i="48"/>
  <c r="H68" i="48"/>
  <c r="H69" i="47"/>
  <c r="D70" i="47"/>
  <c r="G69" i="47"/>
  <c r="G71" i="49"/>
  <c r="I71" i="49" s="1"/>
  <c r="D72" i="49"/>
  <c r="I149" i="49" l="1"/>
  <c r="G150" i="49"/>
  <c r="H150" i="49" s="1"/>
  <c r="F154" i="48"/>
  <c r="G154" i="48" s="1"/>
  <c r="I154" i="48" s="1"/>
  <c r="I155" i="48" s="1"/>
  <c r="E151" i="49"/>
  <c r="F151" i="49" s="1"/>
  <c r="B154" i="47"/>
  <c r="F154" i="47"/>
  <c r="G154" i="47" s="1"/>
  <c r="H153" i="47"/>
  <c r="I153" i="47"/>
  <c r="I68" i="48"/>
  <c r="F69" i="48"/>
  <c r="G69" i="48" s="1"/>
  <c r="B69" i="48"/>
  <c r="I69" i="47"/>
  <c r="E72" i="49"/>
  <c r="E73" i="49" s="1"/>
  <c r="B72" i="49"/>
  <c r="E70" i="47"/>
  <c r="F70" i="47" s="1"/>
  <c r="B70" i="47"/>
  <c r="I150" i="49" l="1"/>
  <c r="H154" i="48"/>
  <c r="H155" i="48" s="1"/>
  <c r="D152" i="49"/>
  <c r="B152" i="49" s="1"/>
  <c r="G151" i="49"/>
  <c r="I154" i="47"/>
  <c r="I155" i="47" s="1"/>
  <c r="H154" i="47"/>
  <c r="H155" i="47" s="1"/>
  <c r="H69" i="48"/>
  <c r="I69" i="48" s="1"/>
  <c r="F72" i="49"/>
  <c r="G72" i="49" s="1"/>
  <c r="G73" i="49" s="1"/>
  <c r="D70" i="48"/>
  <c r="H70" i="47"/>
  <c r="D71" i="47"/>
  <c r="G70" i="47"/>
  <c r="E152" i="49" l="1"/>
  <c r="F152" i="49" s="1"/>
  <c r="G152" i="49" s="1"/>
  <c r="H151" i="49"/>
  <c r="I151" i="49"/>
  <c r="H72" i="49"/>
  <c r="I70" i="47"/>
  <c r="B70" i="48"/>
  <c r="E70" i="48"/>
  <c r="F70" i="48" s="1"/>
  <c r="E71" i="47"/>
  <c r="F71" i="47" s="1"/>
  <c r="H71" i="47" s="1"/>
  <c r="B71" i="47"/>
  <c r="D153" i="49" l="1"/>
  <c r="B153" i="49" s="1"/>
  <c r="H152" i="49"/>
  <c r="I152" i="49"/>
  <c r="I72" i="49"/>
  <c r="I73" i="49" s="1"/>
  <c r="H73" i="49"/>
  <c r="G70" i="48"/>
  <c r="D71" i="48"/>
  <c r="E71" i="48" s="1"/>
  <c r="H70" i="48"/>
  <c r="G71" i="47"/>
  <c r="I71" i="47" s="1"/>
  <c r="D72" i="47"/>
  <c r="E153" i="49" l="1"/>
  <c r="F153" i="49" s="1"/>
  <c r="G153" i="49" s="1"/>
  <c r="I70" i="48"/>
  <c r="B71" i="48"/>
  <c r="F71" i="48"/>
  <c r="H71" i="48" s="1"/>
  <c r="E72" i="47"/>
  <c r="E73" i="47" s="1"/>
  <c r="B72" i="47"/>
  <c r="D154" i="49" l="1"/>
  <c r="E154" i="49" s="1"/>
  <c r="E155" i="49" s="1"/>
  <c r="I153" i="49"/>
  <c r="H153" i="49"/>
  <c r="G71" i="48"/>
  <c r="I71" i="48" s="1"/>
  <c r="F72" i="47"/>
  <c r="H72" i="47" s="1"/>
  <c r="D72" i="48"/>
  <c r="E72" i="48" s="1"/>
  <c r="E73" i="48" s="1"/>
  <c r="B154" i="49" l="1"/>
  <c r="F154" i="49"/>
  <c r="G154" i="49" s="1"/>
  <c r="I154" i="49" s="1"/>
  <c r="I155" i="49" s="1"/>
  <c r="H73" i="47"/>
  <c r="G72" i="47"/>
  <c r="G73" i="47" s="1"/>
  <c r="B72" i="48"/>
  <c r="F72" i="48"/>
  <c r="G72" i="48" s="1"/>
  <c r="G73" i="48" s="1"/>
  <c r="H154" i="49" l="1"/>
  <c r="H155" i="49" s="1"/>
  <c r="I72" i="47"/>
  <c r="I73" i="47" s="1"/>
  <c r="H72" i="48"/>
  <c r="I72" i="48" s="1"/>
  <c r="I73" i="48" s="1"/>
  <c r="H73" i="48" l="1"/>
  <c r="F87" i="1" l="1"/>
  <c r="F86" i="1"/>
  <c r="F88" i="1" l="1"/>
  <c r="F89" i="1" s="1"/>
  <c r="F91" i="1" s="1"/>
  <c r="F92" i="1" s="1"/>
  <c r="F93" i="1" s="1"/>
  <c r="D13" i="57" s="1"/>
  <c r="D13" i="5" l="1"/>
  <c r="I14" i="5" s="1"/>
  <c r="D13" i="56"/>
  <c r="D13" i="50"/>
  <c r="I14" i="50" s="1"/>
  <c r="D13" i="51"/>
  <c r="I14" i="51" s="1"/>
  <c r="D13" i="52"/>
  <c r="I14" i="52" s="1"/>
  <c r="D13" i="10"/>
  <c r="I14" i="10" s="1"/>
  <c r="D13" i="8"/>
  <c r="I14" i="8" s="1"/>
  <c r="D13" i="40"/>
  <c r="I14" i="40" s="1"/>
  <c r="D13" i="4"/>
  <c r="I14" i="4" s="1"/>
  <c r="D13" i="7"/>
  <c r="I14" i="7" s="1"/>
  <c r="D13" i="6"/>
  <c r="I14" i="6" s="1"/>
  <c r="D13" i="11"/>
  <c r="I14" i="11" s="1"/>
  <c r="D13" i="46"/>
  <c r="I14" i="46" s="1"/>
  <c r="D13" i="43"/>
  <c r="I14" i="43" s="1"/>
  <c r="D13" i="13"/>
  <c r="D13" i="41"/>
  <c r="I14" i="41" s="1"/>
  <c r="D13" i="45"/>
  <c r="I14" i="45" s="1"/>
  <c r="D13" i="28"/>
  <c r="I14" i="28" s="1"/>
  <c r="D13" i="23"/>
  <c r="I14" i="23" s="1"/>
  <c r="D13" i="30"/>
  <c r="I14" i="30" s="1"/>
  <c r="D13" i="3"/>
  <c r="I14" i="3" s="1"/>
  <c r="D13" i="9"/>
  <c r="I14" i="9" s="1"/>
  <c r="D13" i="38"/>
  <c r="I14" i="38" s="1"/>
  <c r="D13" i="37"/>
  <c r="I14" i="37" s="1"/>
  <c r="D13" i="39"/>
  <c r="I14" i="39" s="1"/>
  <c r="D13" i="44"/>
  <c r="I14" i="44" s="1"/>
  <c r="D13" i="25"/>
  <c r="I14" i="25" s="1"/>
  <c r="D13" i="24"/>
  <c r="I14" i="24" s="1"/>
  <c r="E30" i="24" s="1"/>
  <c r="D13" i="29"/>
  <c r="I14" i="29" s="1"/>
  <c r="D13" i="22"/>
  <c r="I14" i="22" s="1"/>
  <c r="D13" i="31"/>
  <c r="I14" i="31" s="1"/>
  <c r="D13" i="42"/>
  <c r="I14" i="42" s="1"/>
  <c r="D13" i="27"/>
  <c r="I14" i="27" s="1"/>
  <c r="E19" i="51" l="1"/>
  <c r="F19" i="51" s="1"/>
  <c r="E33" i="22"/>
  <c r="F33" i="22" s="1"/>
  <c r="E34" i="22" s="1"/>
  <c r="E18" i="52"/>
  <c r="F18" i="52" s="1"/>
  <c r="E19" i="52" s="1"/>
  <c r="B28" i="27"/>
  <c r="D30" i="24"/>
  <c r="N6" i="10"/>
  <c r="N5" i="10"/>
  <c r="D20" i="51" l="1"/>
  <c r="G19" i="51"/>
  <c r="H19" i="51"/>
  <c r="G33" i="22"/>
  <c r="H33" i="22"/>
  <c r="D34" i="22"/>
  <c r="H18" i="52"/>
  <c r="G18" i="52"/>
  <c r="D19" i="52"/>
  <c r="M17" i="50"/>
  <c r="K17" i="50"/>
  <c r="N7" i="10"/>
  <c r="I22" i="45"/>
  <c r="I23" i="40"/>
  <c r="I24" i="38"/>
  <c r="I22" i="44"/>
  <c r="I27" i="31"/>
  <c r="I29" i="24"/>
  <c r="D24" i="44"/>
  <c r="E24" i="44"/>
  <c r="B28" i="31"/>
  <c r="I23" i="41"/>
  <c r="B36" i="7"/>
  <c r="B31" i="23"/>
  <c r="B24" i="42"/>
  <c r="B36" i="10"/>
  <c r="B32" i="25"/>
  <c r="B24" i="43"/>
  <c r="B28" i="29"/>
  <c r="B33" i="5"/>
  <c r="I23" i="42"/>
  <c r="B23" i="45"/>
  <c r="I31" i="25"/>
  <c r="B27" i="30"/>
  <c r="B28" i="28"/>
  <c r="B23" i="44"/>
  <c r="B24" i="40"/>
  <c r="F30" i="24"/>
  <c r="G30" i="24" s="1"/>
  <c r="B30" i="24"/>
  <c r="I33" i="6"/>
  <c r="I23" i="43"/>
  <c r="I32" i="4"/>
  <c r="I34" i="9"/>
  <c r="I35" i="10"/>
  <c r="B22" i="46"/>
  <c r="B35" i="11"/>
  <c r="I27" i="29"/>
  <c r="B32" i="22"/>
  <c r="I26" i="30"/>
  <c r="B34" i="8"/>
  <c r="I32" i="3"/>
  <c r="B33" i="4"/>
  <c r="I27" i="28"/>
  <c r="B25" i="38"/>
  <c r="I24" i="39"/>
  <c r="I21" i="46"/>
  <c r="B25" i="37"/>
  <c r="I32" i="5"/>
  <c r="I31" i="22"/>
  <c r="B33" i="3"/>
  <c r="I28" i="27"/>
  <c r="B34" i="6"/>
  <c r="B35" i="9"/>
  <c r="I30" i="23"/>
  <c r="B25" i="39"/>
  <c r="I34" i="11"/>
  <c r="I24" i="37"/>
  <c r="B24" i="41"/>
  <c r="I35" i="7"/>
  <c r="I33" i="8"/>
  <c r="F25" i="17"/>
  <c r="I19" i="51" l="1"/>
  <c r="E20" i="51"/>
  <c r="F20" i="51" s="1"/>
  <c r="B20" i="51"/>
  <c r="F34" i="22"/>
  <c r="H34" i="22" s="1"/>
  <c r="F19" i="52"/>
  <c r="H19" i="52" s="1"/>
  <c r="L17" i="50"/>
  <c r="M87" i="50"/>
  <c r="N17" i="50"/>
  <c r="N87" i="50"/>
  <c r="I18" i="52"/>
  <c r="B18" i="50"/>
  <c r="D19" i="50"/>
  <c r="B19" i="52"/>
  <c r="I17" i="50"/>
  <c r="N6" i="50"/>
  <c r="N19" i="1" s="1"/>
  <c r="G25" i="17"/>
  <c r="G55" i="17" s="1"/>
  <c r="F55" i="17"/>
  <c r="F24" i="44"/>
  <c r="G24" i="44" s="1"/>
  <c r="I24" i="43"/>
  <c r="D24" i="45"/>
  <c r="E24" i="45"/>
  <c r="D36" i="9"/>
  <c r="E36" i="9"/>
  <c r="I24" i="40"/>
  <c r="D25" i="40"/>
  <c r="E25" i="40"/>
  <c r="I28" i="31"/>
  <c r="D29" i="31"/>
  <c r="E29" i="31"/>
  <c r="D34" i="3"/>
  <c r="E34" i="3"/>
  <c r="I23" i="44"/>
  <c r="D37" i="10"/>
  <c r="E37" i="10"/>
  <c r="B29" i="27"/>
  <c r="D32" i="23"/>
  <c r="E32" i="23"/>
  <c r="D28" i="30"/>
  <c r="E28" i="30"/>
  <c r="D35" i="6"/>
  <c r="E35" i="6"/>
  <c r="I33" i="5"/>
  <c r="D34" i="5"/>
  <c r="E34" i="5"/>
  <c r="D25" i="43"/>
  <c r="E25" i="43"/>
  <c r="D37" i="7"/>
  <c r="E37" i="7"/>
  <c r="D25" i="42"/>
  <c r="E25" i="42"/>
  <c r="D25" i="41"/>
  <c r="E25" i="41"/>
  <c r="I25" i="39"/>
  <c r="D26" i="39"/>
  <c r="E26" i="39"/>
  <c r="I33" i="4"/>
  <c r="D34" i="4"/>
  <c r="E34" i="4"/>
  <c r="I35" i="11"/>
  <c r="D36" i="11"/>
  <c r="E36" i="11"/>
  <c r="D29" i="29"/>
  <c r="E29" i="29"/>
  <c r="D26" i="38"/>
  <c r="E26" i="38"/>
  <c r="I25" i="37"/>
  <c r="D26" i="37"/>
  <c r="E26" i="37"/>
  <c r="D35" i="8"/>
  <c r="E35" i="8"/>
  <c r="D23" i="46"/>
  <c r="E23" i="46"/>
  <c r="H30" i="24"/>
  <c r="I30" i="24" s="1"/>
  <c r="D31" i="24"/>
  <c r="E31" i="24"/>
  <c r="I28" i="28"/>
  <c r="D29" i="28"/>
  <c r="E29" i="28"/>
  <c r="D33" i="25"/>
  <c r="E33" i="25"/>
  <c r="B24" i="44"/>
  <c r="D21" i="51" l="1"/>
  <c r="G20" i="51"/>
  <c r="H20" i="51"/>
  <c r="I20" i="51" s="1"/>
  <c r="E21" i="51"/>
  <c r="F21" i="51" s="1"/>
  <c r="B21" i="51"/>
  <c r="G34" i="22"/>
  <c r="O17" i="50"/>
  <c r="G19" i="52"/>
  <c r="I19" i="52" s="1"/>
  <c r="R133" i="1"/>
  <c r="N20" i="1"/>
  <c r="D35" i="22"/>
  <c r="E35" i="22"/>
  <c r="D20" i="52"/>
  <c r="E20" i="52"/>
  <c r="D25" i="44"/>
  <c r="B25" i="44" s="1"/>
  <c r="H24" i="44"/>
  <c r="I24" i="44" s="1"/>
  <c r="E25" i="44"/>
  <c r="O87" i="50"/>
  <c r="O17" i="2"/>
  <c r="N17" i="2"/>
  <c r="R132" i="2" s="1"/>
  <c r="E19" i="50"/>
  <c r="F19" i="50" s="1"/>
  <c r="G19" i="50" s="1"/>
  <c r="B19" i="50"/>
  <c r="F24" i="45"/>
  <c r="D25" i="45" s="1"/>
  <c r="I34" i="6"/>
  <c r="F25" i="40"/>
  <c r="G25" i="40" s="1"/>
  <c r="B25" i="40"/>
  <c r="B29" i="28"/>
  <c r="F29" i="28"/>
  <c r="G29" i="28" s="1"/>
  <c r="F23" i="46"/>
  <c r="G23" i="46" s="1"/>
  <c r="I32" i="22"/>
  <c r="B25" i="41"/>
  <c r="F25" i="41"/>
  <c r="G25" i="41" s="1"/>
  <c r="F34" i="3"/>
  <c r="B34" i="3"/>
  <c r="B23" i="46"/>
  <c r="B26" i="38"/>
  <c r="F26" i="38"/>
  <c r="G26" i="38" s="1"/>
  <c r="B25" i="43"/>
  <c r="F25" i="43"/>
  <c r="G25" i="43" s="1"/>
  <c r="D30" i="27"/>
  <c r="E30" i="27"/>
  <c r="I33" i="3"/>
  <c r="F34" i="4"/>
  <c r="G34" i="4" s="1"/>
  <c r="B34" i="4"/>
  <c r="F28" i="30"/>
  <c r="G28" i="30" s="1"/>
  <c r="B28" i="30"/>
  <c r="I24" i="41"/>
  <c r="B36" i="9"/>
  <c r="F36" i="9"/>
  <c r="G36" i="9" s="1"/>
  <c r="B26" i="37"/>
  <c r="F26" i="37"/>
  <c r="G26" i="37" s="1"/>
  <c r="B35" i="6"/>
  <c r="F35" i="6"/>
  <c r="G35" i="6" s="1"/>
  <c r="F37" i="10"/>
  <c r="H37" i="10" s="1"/>
  <c r="B37" i="10"/>
  <c r="F29" i="31"/>
  <c r="B29" i="31"/>
  <c r="B37" i="7"/>
  <c r="F37" i="7"/>
  <c r="G37" i="7" s="1"/>
  <c r="I31" i="23"/>
  <c r="I25" i="38"/>
  <c r="B33" i="22"/>
  <c r="F36" i="11"/>
  <c r="G36" i="11" s="1"/>
  <c r="B36" i="11"/>
  <c r="I36" i="7"/>
  <c r="B31" i="24"/>
  <c r="F31" i="24"/>
  <c r="G31" i="24" s="1"/>
  <c r="F35" i="8"/>
  <c r="H35" i="8" s="1"/>
  <c r="B35" i="8"/>
  <c r="B25" i="42"/>
  <c r="F25" i="42"/>
  <c r="H25" i="42" s="1"/>
  <c r="F34" i="5"/>
  <c r="G34" i="5" s="1"/>
  <c r="B34" i="5"/>
  <c r="I27" i="30"/>
  <c r="I35" i="9"/>
  <c r="B33" i="25"/>
  <c r="F33" i="25"/>
  <c r="H33" i="25" s="1"/>
  <c r="I34" i="8"/>
  <c r="F29" i="29"/>
  <c r="B29" i="29"/>
  <c r="I24" i="42"/>
  <c r="I32" i="25"/>
  <c r="I22" i="46"/>
  <c r="I28" i="29"/>
  <c r="I23" i="45"/>
  <c r="B26" i="39"/>
  <c r="F26" i="39"/>
  <c r="G26" i="39" s="1"/>
  <c r="F32" i="23"/>
  <c r="G32" i="23" s="1"/>
  <c r="B32" i="23"/>
  <c r="I36" i="10"/>
  <c r="B24" i="45"/>
  <c r="D22" i="51" l="1"/>
  <c r="G21" i="51"/>
  <c r="H21" i="51"/>
  <c r="I21" i="51"/>
  <c r="E22" i="51"/>
  <c r="B22" i="51"/>
  <c r="F22" i="51"/>
  <c r="D23" i="51" s="1"/>
  <c r="G22" i="51"/>
  <c r="F20" i="52"/>
  <c r="D21" i="52" s="1"/>
  <c r="F25" i="44"/>
  <c r="H25" i="44" s="1"/>
  <c r="F35" i="22"/>
  <c r="G35" i="22" s="1"/>
  <c r="I18" i="50"/>
  <c r="R133" i="2"/>
  <c r="P17" i="2"/>
  <c r="B20" i="52"/>
  <c r="H19" i="50"/>
  <c r="D20" i="50"/>
  <c r="E20" i="50"/>
  <c r="G24" i="45"/>
  <c r="H25" i="43"/>
  <c r="I25" i="43" s="1"/>
  <c r="E25" i="45"/>
  <c r="F25" i="45" s="1"/>
  <c r="D26" i="45" s="1"/>
  <c r="B26" i="45" s="1"/>
  <c r="H24" i="45"/>
  <c r="H26" i="37"/>
  <c r="I26" i="37" s="1"/>
  <c r="H29" i="29"/>
  <c r="D30" i="29"/>
  <c r="E30" i="29"/>
  <c r="H29" i="28"/>
  <c r="D30" i="28"/>
  <c r="E30" i="28"/>
  <c r="H37" i="7"/>
  <c r="D38" i="7"/>
  <c r="E38" i="7"/>
  <c r="H28" i="30"/>
  <c r="D29" i="30"/>
  <c r="E29" i="30"/>
  <c r="I29" i="27"/>
  <c r="H32" i="23"/>
  <c r="D33" i="23"/>
  <c r="E33" i="23"/>
  <c r="D27" i="37"/>
  <c r="E27" i="37"/>
  <c r="H26" i="38"/>
  <c r="D27" i="38"/>
  <c r="E27" i="38"/>
  <c r="G33" i="25"/>
  <c r="I33" i="25" s="1"/>
  <c r="D34" i="25"/>
  <c r="E34" i="25"/>
  <c r="H34" i="5"/>
  <c r="I34" i="5" s="1"/>
  <c r="D35" i="5"/>
  <c r="E35" i="5"/>
  <c r="B25" i="45"/>
  <c r="H35" i="6"/>
  <c r="D36" i="6"/>
  <c r="E36" i="6"/>
  <c r="H36" i="9"/>
  <c r="D37" i="9"/>
  <c r="E37" i="9"/>
  <c r="H25" i="40"/>
  <c r="I25" i="40" s="1"/>
  <c r="D26" i="40"/>
  <c r="E26" i="40"/>
  <c r="H29" i="31"/>
  <c r="D30" i="31"/>
  <c r="E30" i="31"/>
  <c r="H31" i="24"/>
  <c r="I31" i="24" s="1"/>
  <c r="D32" i="24"/>
  <c r="E32" i="24"/>
  <c r="H34" i="3"/>
  <c r="D35" i="3"/>
  <c r="E35" i="3" s="1"/>
  <c r="G37" i="10"/>
  <c r="I37" i="10" s="1"/>
  <c r="D38" i="10"/>
  <c r="E38" i="10"/>
  <c r="B30" i="27"/>
  <c r="F30" i="27"/>
  <c r="H30" i="27" s="1"/>
  <c r="G29" i="31"/>
  <c r="H34" i="4"/>
  <c r="D35" i="4"/>
  <c r="E35" i="4"/>
  <c r="D26" i="42"/>
  <c r="E26" i="42"/>
  <c r="H25" i="41"/>
  <c r="I25" i="41" s="1"/>
  <c r="D26" i="41"/>
  <c r="E26" i="41"/>
  <c r="H26" i="39"/>
  <c r="I26" i="39" s="1"/>
  <c r="D27" i="39"/>
  <c r="E27" i="39"/>
  <c r="G29" i="29"/>
  <c r="G25" i="42"/>
  <c r="I25" i="42" s="1"/>
  <c r="G35" i="8"/>
  <c r="I35" i="8" s="1"/>
  <c r="D36" i="8"/>
  <c r="E36" i="8"/>
  <c r="H36" i="11"/>
  <c r="D37" i="11"/>
  <c r="E37" i="11"/>
  <c r="E26" i="44"/>
  <c r="D26" i="43"/>
  <c r="E26" i="43"/>
  <c r="G34" i="3"/>
  <c r="H23" i="46"/>
  <c r="I23" i="46" s="1"/>
  <c r="D24" i="46"/>
  <c r="E24" i="46"/>
  <c r="H22" i="51" l="1"/>
  <c r="I22" i="51" s="1"/>
  <c r="D26" i="44"/>
  <c r="E23" i="51"/>
  <c r="F23" i="51"/>
  <c r="D24" i="51" s="1"/>
  <c r="B23" i="51"/>
  <c r="G23" i="51"/>
  <c r="H23" i="51"/>
  <c r="G25" i="44"/>
  <c r="I25" i="44" s="1"/>
  <c r="H20" i="52"/>
  <c r="H35" i="22"/>
  <c r="G20" i="52"/>
  <c r="I20" i="52" s="1"/>
  <c r="E21" i="52"/>
  <c r="F21" i="52" s="1"/>
  <c r="D36" i="22"/>
  <c r="E36" i="22"/>
  <c r="I24" i="45"/>
  <c r="I19" i="50"/>
  <c r="B21" i="52"/>
  <c r="B20" i="50"/>
  <c r="F20" i="50"/>
  <c r="G20" i="50" s="1"/>
  <c r="G25" i="45"/>
  <c r="H25" i="45"/>
  <c r="E26" i="45"/>
  <c r="F26" i="45" s="1"/>
  <c r="D27" i="45" s="1"/>
  <c r="F26" i="44"/>
  <c r="G26" i="44" s="1"/>
  <c r="I29" i="31"/>
  <c r="B26" i="42"/>
  <c r="F26" i="42"/>
  <c r="G26" i="42" s="1"/>
  <c r="I35" i="6"/>
  <c r="F26" i="43"/>
  <c r="B26" i="43"/>
  <c r="F32" i="24"/>
  <c r="G32" i="24" s="1"/>
  <c r="B32" i="24"/>
  <c r="B34" i="25"/>
  <c r="F34" i="25"/>
  <c r="G34" i="25" s="1"/>
  <c r="I28" i="30"/>
  <c r="B26" i="44"/>
  <c r="I34" i="4"/>
  <c r="B38" i="10"/>
  <c r="F38" i="10"/>
  <c r="G38" i="10" s="1"/>
  <c r="B33" i="23"/>
  <c r="F33" i="23"/>
  <c r="H33" i="23" s="1"/>
  <c r="F30" i="29"/>
  <c r="B30" i="29"/>
  <c r="F26" i="40"/>
  <c r="G26" i="40" s="1"/>
  <c r="B26" i="40"/>
  <c r="B26" i="41"/>
  <c r="F26" i="41"/>
  <c r="G26" i="41" s="1"/>
  <c r="G30" i="27"/>
  <c r="I30" i="27" s="1"/>
  <c r="D31" i="27"/>
  <c r="E31" i="27"/>
  <c r="B30" i="28"/>
  <c r="F30" i="28"/>
  <c r="H30" i="28" s="1"/>
  <c r="F27" i="37"/>
  <c r="B27" i="37"/>
  <c r="I29" i="28"/>
  <c r="B35" i="4"/>
  <c r="F35" i="4"/>
  <c r="G35" i="4" s="1"/>
  <c r="F30" i="31"/>
  <c r="H30" i="31" s="1"/>
  <c r="B30" i="31"/>
  <c r="B37" i="9"/>
  <c r="F37" i="9"/>
  <c r="H37" i="9" s="1"/>
  <c r="I32" i="23"/>
  <c r="I29" i="29"/>
  <c r="F36" i="6"/>
  <c r="B36" i="6"/>
  <c r="I34" i="3"/>
  <c r="F36" i="8"/>
  <c r="G36" i="8" s="1"/>
  <c r="B36" i="8"/>
  <c r="B29" i="30"/>
  <c r="F29" i="30"/>
  <c r="G29" i="30" s="1"/>
  <c r="B24" i="46"/>
  <c r="F24" i="46"/>
  <c r="G24" i="46" s="1"/>
  <c r="F37" i="11"/>
  <c r="G37" i="11" s="1"/>
  <c r="B37" i="11"/>
  <c r="B27" i="39"/>
  <c r="F27" i="39"/>
  <c r="G27" i="39" s="1"/>
  <c r="B34" i="22"/>
  <c r="I36" i="9"/>
  <c r="I26" i="38"/>
  <c r="F38" i="7"/>
  <c r="G38" i="7" s="1"/>
  <c r="B38" i="7"/>
  <c r="I36" i="11"/>
  <c r="I33" i="22"/>
  <c r="B35" i="3"/>
  <c r="F35" i="3"/>
  <c r="G35" i="3" s="1"/>
  <c r="F35" i="5"/>
  <c r="G35" i="5" s="1"/>
  <c r="B35" i="5"/>
  <c r="F27" i="38"/>
  <c r="H27" i="38" s="1"/>
  <c r="B27" i="38"/>
  <c r="I37" i="7"/>
  <c r="I23" i="51" l="1"/>
  <c r="E24" i="51"/>
  <c r="F24" i="51"/>
  <c r="D25" i="51" s="1"/>
  <c r="B24" i="51"/>
  <c r="G24" i="51"/>
  <c r="H24" i="51"/>
  <c r="G21" i="52"/>
  <c r="H21" i="52"/>
  <c r="F36" i="22"/>
  <c r="H36" i="22" s="1"/>
  <c r="D22" i="52"/>
  <c r="B22" i="52" s="1"/>
  <c r="E22" i="52"/>
  <c r="E27" i="44"/>
  <c r="H20" i="50"/>
  <c r="D21" i="50"/>
  <c r="D27" i="44"/>
  <c r="I25" i="45"/>
  <c r="H26" i="44"/>
  <c r="I26" i="44" s="1"/>
  <c r="E27" i="45"/>
  <c r="F27" i="45" s="1"/>
  <c r="H26" i="45"/>
  <c r="G26" i="45"/>
  <c r="D28" i="37"/>
  <c r="E28" i="37"/>
  <c r="H26" i="43"/>
  <c r="D27" i="43"/>
  <c r="E27" i="43"/>
  <c r="H36" i="6"/>
  <c r="D37" i="6"/>
  <c r="E37" i="6"/>
  <c r="H26" i="41"/>
  <c r="I26" i="41" s="1"/>
  <c r="D27" i="41"/>
  <c r="E27" i="41"/>
  <c r="G33" i="23"/>
  <c r="I33" i="23" s="1"/>
  <c r="D34" i="23"/>
  <c r="E34" i="23"/>
  <c r="H35" i="3"/>
  <c r="D36" i="3"/>
  <c r="E36" i="3"/>
  <c r="H24" i="46"/>
  <c r="D25" i="46"/>
  <c r="E25" i="46"/>
  <c r="H36" i="8"/>
  <c r="D37" i="8"/>
  <c r="E37" i="8"/>
  <c r="H35" i="5"/>
  <c r="I35" i="5" s="1"/>
  <c r="D36" i="5"/>
  <c r="E36" i="5"/>
  <c r="H37" i="11"/>
  <c r="D38" i="11"/>
  <c r="E38" i="11"/>
  <c r="B27" i="45"/>
  <c r="G30" i="31"/>
  <c r="I30" i="31" s="1"/>
  <c r="D31" i="31"/>
  <c r="E31" i="31"/>
  <c r="G27" i="37"/>
  <c r="H32" i="24"/>
  <c r="I32" i="24" s="1"/>
  <c r="D33" i="24"/>
  <c r="E33" i="24"/>
  <c r="H26" i="42"/>
  <c r="D27" i="42"/>
  <c r="E27" i="42"/>
  <c r="H30" i="29"/>
  <c r="D31" i="29"/>
  <c r="E31" i="29"/>
  <c r="G30" i="28"/>
  <c r="I30" i="28" s="1"/>
  <c r="D31" i="28"/>
  <c r="E31" i="28"/>
  <c r="H38" i="7"/>
  <c r="D39" i="7"/>
  <c r="E39" i="7"/>
  <c r="H27" i="39"/>
  <c r="I27" i="39" s="1"/>
  <c r="D28" i="39"/>
  <c r="E28" i="39"/>
  <c r="H27" i="37"/>
  <c r="F31" i="27"/>
  <c r="G31" i="27" s="1"/>
  <c r="B31" i="27"/>
  <c r="H26" i="40"/>
  <c r="I26" i="40" s="1"/>
  <c r="D27" i="40"/>
  <c r="E27" i="40"/>
  <c r="H38" i="10"/>
  <c r="D39" i="10"/>
  <c r="E39" i="10"/>
  <c r="G26" i="43"/>
  <c r="G37" i="9"/>
  <c r="I37" i="9" s="1"/>
  <c r="D38" i="9"/>
  <c r="E38" i="9"/>
  <c r="H34" i="25"/>
  <c r="D35" i="25"/>
  <c r="E35" i="25"/>
  <c r="G27" i="38"/>
  <c r="I27" i="38" s="1"/>
  <c r="D28" i="38"/>
  <c r="E28" i="38"/>
  <c r="H29" i="30"/>
  <c r="D30" i="30"/>
  <c r="E30" i="30"/>
  <c r="G36" i="6"/>
  <c r="H35" i="4"/>
  <c r="D36" i="4"/>
  <c r="E36" i="4"/>
  <c r="G30" i="29"/>
  <c r="I24" i="51" l="1"/>
  <c r="E25" i="51"/>
  <c r="F25" i="51"/>
  <c r="D26" i="51" s="1"/>
  <c r="B25" i="51"/>
  <c r="G25" i="51"/>
  <c r="H25" i="51"/>
  <c r="F22" i="52"/>
  <c r="D23" i="52" s="1"/>
  <c r="B23" i="52" s="1"/>
  <c r="F27" i="44"/>
  <c r="H27" i="44" s="1"/>
  <c r="G36" i="22"/>
  <c r="D37" i="22"/>
  <c r="E37" i="22"/>
  <c r="B27" i="44"/>
  <c r="E21" i="50"/>
  <c r="F21" i="50" s="1"/>
  <c r="H21" i="50" s="1"/>
  <c r="B21" i="50"/>
  <c r="I21" i="52"/>
  <c r="I20" i="50"/>
  <c r="D28" i="45"/>
  <c r="B28" i="45" s="1"/>
  <c r="G27" i="45"/>
  <c r="I26" i="45"/>
  <c r="H27" i="45"/>
  <c r="F31" i="29"/>
  <c r="G31" i="29" s="1"/>
  <c r="B31" i="29"/>
  <c r="B39" i="7"/>
  <c r="F39" i="7"/>
  <c r="H39" i="7" s="1"/>
  <c r="E28" i="45"/>
  <c r="B36" i="4"/>
  <c r="F36" i="4"/>
  <c r="G36" i="4" s="1"/>
  <c r="H31" i="27"/>
  <c r="D32" i="27"/>
  <c r="E32" i="27"/>
  <c r="I35" i="3"/>
  <c r="F39" i="10"/>
  <c r="B39" i="10"/>
  <c r="I27" i="37"/>
  <c r="F37" i="8"/>
  <c r="G37" i="8" s="1"/>
  <c r="B37" i="8"/>
  <c r="F37" i="6"/>
  <c r="G37" i="6" s="1"/>
  <c r="B37" i="6"/>
  <c r="B36" i="5"/>
  <c r="F36" i="5"/>
  <c r="G36" i="5" s="1"/>
  <c r="I26" i="43"/>
  <c r="F33" i="24"/>
  <c r="H33" i="24" s="1"/>
  <c r="B33" i="24"/>
  <c r="F28" i="37"/>
  <c r="G28" i="37" s="1"/>
  <c r="B28" i="37"/>
  <c r="I38" i="7"/>
  <c r="I35" i="4"/>
  <c r="F35" i="25"/>
  <c r="H35" i="25" s="1"/>
  <c r="B35" i="25"/>
  <c r="I38" i="10"/>
  <c r="B31" i="28"/>
  <c r="F31" i="28"/>
  <c r="G31" i="28" s="1"/>
  <c r="F38" i="11"/>
  <c r="G38" i="11" s="1"/>
  <c r="B38" i="11"/>
  <c r="I36" i="8"/>
  <c r="B34" i="23"/>
  <c r="F34" i="23"/>
  <c r="G34" i="23" s="1"/>
  <c r="I36" i="6"/>
  <c r="I26" i="42"/>
  <c r="I29" i="30"/>
  <c r="B28" i="38"/>
  <c r="F28" i="38"/>
  <c r="H28" i="38" s="1"/>
  <c r="I30" i="29"/>
  <c r="B36" i="3"/>
  <c r="F36" i="3"/>
  <c r="F31" i="31"/>
  <c r="H31" i="31" s="1"/>
  <c r="B31" i="31"/>
  <c r="B35" i="22"/>
  <c r="I37" i="11"/>
  <c r="B38" i="9"/>
  <c r="F38" i="9"/>
  <c r="G38" i="9" s="1"/>
  <c r="B27" i="41"/>
  <c r="F27" i="41"/>
  <c r="H27" i="41" s="1"/>
  <c r="I34" i="25"/>
  <c r="F30" i="30"/>
  <c r="G30" i="30" s="1"/>
  <c r="B30" i="30"/>
  <c r="B27" i="40"/>
  <c r="F27" i="40"/>
  <c r="B28" i="39"/>
  <c r="F28" i="39"/>
  <c r="G28" i="39" s="1"/>
  <c r="F27" i="42"/>
  <c r="G27" i="42" s="1"/>
  <c r="B27" i="42"/>
  <c r="I34" i="22"/>
  <c r="B25" i="46"/>
  <c r="F25" i="46"/>
  <c r="G25" i="46" s="1"/>
  <c r="I24" i="46"/>
  <c r="B27" i="43"/>
  <c r="F27" i="43"/>
  <c r="H22" i="52" l="1"/>
  <c r="E23" i="52"/>
  <c r="G22" i="52"/>
  <c r="I22" i="52" s="1"/>
  <c r="E28" i="44"/>
  <c r="I25" i="51"/>
  <c r="G27" i="44"/>
  <c r="I27" i="44" s="1"/>
  <c r="E26" i="51"/>
  <c r="F26" i="51" s="1"/>
  <c r="B26" i="51"/>
  <c r="D28" i="44"/>
  <c r="B28" i="44" s="1"/>
  <c r="F37" i="22"/>
  <c r="H37" i="22" s="1"/>
  <c r="F23" i="52"/>
  <c r="G23" i="52" s="1"/>
  <c r="G21" i="50"/>
  <c r="I21" i="50" s="1"/>
  <c r="D22" i="50"/>
  <c r="E22" i="50"/>
  <c r="I27" i="45"/>
  <c r="F28" i="45"/>
  <c r="H28" i="45" s="1"/>
  <c r="H28" i="39"/>
  <c r="I28" i="39" s="1"/>
  <c r="H28" i="37"/>
  <c r="I28" i="37" s="1"/>
  <c r="H37" i="8"/>
  <c r="D38" i="8"/>
  <c r="E38" i="8"/>
  <c r="G39" i="7"/>
  <c r="I39" i="7" s="1"/>
  <c r="D40" i="7"/>
  <c r="E40" i="7"/>
  <c r="I35" i="22"/>
  <c r="H38" i="11"/>
  <c r="D39" i="11"/>
  <c r="E39" i="11"/>
  <c r="G35" i="25"/>
  <c r="I35" i="25" s="1"/>
  <c r="D36" i="25"/>
  <c r="E36" i="25"/>
  <c r="D29" i="37"/>
  <c r="E29" i="37"/>
  <c r="H27" i="43"/>
  <c r="D28" i="43"/>
  <c r="E28" i="43"/>
  <c r="G27" i="40"/>
  <c r="D28" i="40"/>
  <c r="E28" i="40"/>
  <c r="G27" i="41"/>
  <c r="I27" i="41" s="1"/>
  <c r="D28" i="41"/>
  <c r="E28" i="41"/>
  <c r="I31" i="27"/>
  <c r="H30" i="30"/>
  <c r="D31" i="30"/>
  <c r="E31" i="30"/>
  <c r="D29" i="39"/>
  <c r="E29" i="39"/>
  <c r="H38" i="9"/>
  <c r="D39" i="9"/>
  <c r="E39" i="9"/>
  <c r="G28" i="38"/>
  <c r="I28" i="38" s="1"/>
  <c r="D29" i="38"/>
  <c r="E29" i="38"/>
  <c r="F32" i="27"/>
  <c r="B32" i="27"/>
  <c r="H27" i="42"/>
  <c r="I27" i="42" s="1"/>
  <c r="D28" i="42"/>
  <c r="E28" i="42"/>
  <c r="H36" i="5"/>
  <c r="I36" i="5" s="1"/>
  <c r="D37" i="5"/>
  <c r="E37" i="5"/>
  <c r="H36" i="4"/>
  <c r="D37" i="4"/>
  <c r="E37" i="4"/>
  <c r="G31" i="31"/>
  <c r="I31" i="31" s="1"/>
  <c r="D32" i="31"/>
  <c r="E32" i="31"/>
  <c r="H34" i="23"/>
  <c r="D35" i="23"/>
  <c r="E35" i="23"/>
  <c r="H31" i="28"/>
  <c r="I31" i="28" s="1"/>
  <c r="D32" i="28"/>
  <c r="E32" i="28"/>
  <c r="H31" i="29"/>
  <c r="D32" i="29"/>
  <c r="E32" i="29"/>
  <c r="H36" i="3"/>
  <c r="D37" i="3"/>
  <c r="E37" i="3"/>
  <c r="H39" i="10"/>
  <c r="D40" i="10"/>
  <c r="E40" i="10"/>
  <c r="H25" i="46"/>
  <c r="I25" i="46" s="1"/>
  <c r="D26" i="46"/>
  <c r="E26" i="46"/>
  <c r="G27" i="43"/>
  <c r="H27" i="40"/>
  <c r="G36" i="3"/>
  <c r="G33" i="24"/>
  <c r="I33" i="24" s="1"/>
  <c r="D34" i="24"/>
  <c r="E34" i="24"/>
  <c r="H37" i="6"/>
  <c r="D38" i="6"/>
  <c r="E38" i="6"/>
  <c r="G39" i="10"/>
  <c r="D27" i="51" l="1"/>
  <c r="H26" i="51"/>
  <c r="G26" i="51"/>
  <c r="F28" i="44"/>
  <c r="D29" i="44" s="1"/>
  <c r="B29" i="44" s="1"/>
  <c r="H23" i="52"/>
  <c r="I23" i="52" s="1"/>
  <c r="G37" i="22"/>
  <c r="D38" i="22"/>
  <c r="E38" i="22"/>
  <c r="D24" i="52"/>
  <c r="B24" i="52" s="1"/>
  <c r="E24" i="52"/>
  <c r="B22" i="50"/>
  <c r="F22" i="50"/>
  <c r="H22" i="50" s="1"/>
  <c r="I27" i="40"/>
  <c r="G28" i="45"/>
  <c r="I28" i="45" s="1"/>
  <c r="D29" i="45"/>
  <c r="B29" i="45" s="1"/>
  <c r="I27" i="43"/>
  <c r="I36" i="3"/>
  <c r="F29" i="38"/>
  <c r="H29" i="38" s="1"/>
  <c r="B29" i="38"/>
  <c r="B31" i="30"/>
  <c r="F31" i="30"/>
  <c r="B32" i="29"/>
  <c r="F32" i="29"/>
  <c r="G32" i="29" s="1"/>
  <c r="B28" i="40"/>
  <c r="F28" i="40"/>
  <c r="G28" i="40" s="1"/>
  <c r="B32" i="31"/>
  <c r="F32" i="31"/>
  <c r="H32" i="31" s="1"/>
  <c r="F39" i="9"/>
  <c r="G39" i="9" s="1"/>
  <c r="B39" i="9"/>
  <c r="B36" i="25"/>
  <c r="F36" i="25"/>
  <c r="G36" i="25" s="1"/>
  <c r="B38" i="6"/>
  <c r="F38" i="6"/>
  <c r="G38" i="6" s="1"/>
  <c r="F40" i="10"/>
  <c r="G40" i="10" s="1"/>
  <c r="B40" i="10"/>
  <c r="B28" i="42"/>
  <c r="F28" i="42"/>
  <c r="I38" i="9"/>
  <c r="B35" i="23"/>
  <c r="F35" i="23"/>
  <c r="G35" i="23" s="1"/>
  <c r="F38" i="8"/>
  <c r="G38" i="8" s="1"/>
  <c r="B38" i="8"/>
  <c r="I34" i="23"/>
  <c r="G32" i="27"/>
  <c r="D33" i="27"/>
  <c r="E33" i="27"/>
  <c r="I37" i="8"/>
  <c r="B36" i="22"/>
  <c r="I37" i="6"/>
  <c r="I39" i="10"/>
  <c r="B32" i="28"/>
  <c r="F32" i="28"/>
  <c r="H32" i="28" s="1"/>
  <c r="F28" i="43"/>
  <c r="G28" i="43" s="1"/>
  <c r="B28" i="43"/>
  <c r="F40" i="7"/>
  <c r="B40" i="7"/>
  <c r="E29" i="45"/>
  <c r="F37" i="5"/>
  <c r="G37" i="5" s="1"/>
  <c r="B37" i="5"/>
  <c r="I30" i="30"/>
  <c r="I31" i="29"/>
  <c r="B37" i="4"/>
  <c r="F37" i="4"/>
  <c r="F29" i="39"/>
  <c r="H29" i="39" s="1"/>
  <c r="B29" i="39"/>
  <c r="F39" i="11"/>
  <c r="H39" i="11" s="1"/>
  <c r="B39" i="11"/>
  <c r="F29" i="37"/>
  <c r="G29" i="37" s="1"/>
  <c r="B29" i="37"/>
  <c r="B34" i="24"/>
  <c r="F34" i="24"/>
  <c r="G34" i="24" s="1"/>
  <c r="F26" i="46"/>
  <c r="B26" i="46"/>
  <c r="F37" i="3"/>
  <c r="G37" i="3" s="1"/>
  <c r="B37" i="3"/>
  <c r="I36" i="4"/>
  <c r="H32" i="27"/>
  <c r="B28" i="41"/>
  <c r="F28" i="41"/>
  <c r="H28" i="41" s="1"/>
  <c r="I38" i="11"/>
  <c r="G28" i="44" l="1"/>
  <c r="H28" i="44"/>
  <c r="E29" i="44"/>
  <c r="F29" i="44" s="1"/>
  <c r="G29" i="44" s="1"/>
  <c r="I26" i="51"/>
  <c r="E27" i="51"/>
  <c r="B27" i="51"/>
  <c r="F27" i="51"/>
  <c r="D28" i="51" s="1"/>
  <c r="F24" i="52"/>
  <c r="D25" i="52" s="1"/>
  <c r="F38" i="22"/>
  <c r="G38" i="22" s="1"/>
  <c r="I28" i="44"/>
  <c r="D30" i="44"/>
  <c r="G22" i="50"/>
  <c r="I22" i="50" s="1"/>
  <c r="H29" i="44"/>
  <c r="I29" i="44" s="1"/>
  <c r="D23" i="50"/>
  <c r="E23" i="50"/>
  <c r="F29" i="45"/>
  <c r="D30" i="45" s="1"/>
  <c r="G29" i="38"/>
  <c r="I29" i="38" s="1"/>
  <c r="I32" i="27"/>
  <c r="G37" i="4"/>
  <c r="D38" i="4"/>
  <c r="E38" i="4"/>
  <c r="H35" i="23"/>
  <c r="I35" i="23" s="1"/>
  <c r="D36" i="23"/>
  <c r="E36" i="23"/>
  <c r="H36" i="25"/>
  <c r="I36" i="25" s="1"/>
  <c r="D37" i="25"/>
  <c r="E37" i="25"/>
  <c r="H28" i="40"/>
  <c r="I28" i="40" s="1"/>
  <c r="D29" i="40"/>
  <c r="E29" i="40"/>
  <c r="H34" i="24"/>
  <c r="I34" i="24" s="1"/>
  <c r="D35" i="24"/>
  <c r="E35" i="24"/>
  <c r="I36" i="22"/>
  <c r="H40" i="10"/>
  <c r="I40" i="10" s="1"/>
  <c r="D41" i="10"/>
  <c r="E41" i="10"/>
  <c r="H31" i="30"/>
  <c r="D32" i="30"/>
  <c r="E32" i="30"/>
  <c r="D27" i="46"/>
  <c r="E27" i="46"/>
  <c r="B33" i="27"/>
  <c r="F33" i="27"/>
  <c r="G33" i="27" s="1"/>
  <c r="H37" i="3"/>
  <c r="I37" i="3" s="1"/>
  <c r="D38" i="3"/>
  <c r="E38" i="3"/>
  <c r="G32" i="28"/>
  <c r="I32" i="28" s="1"/>
  <c r="D33" i="28"/>
  <c r="E33" i="28"/>
  <c r="H39" i="9"/>
  <c r="D40" i="9"/>
  <c r="E40" i="9"/>
  <c r="H32" i="29"/>
  <c r="I32" i="29" s="1"/>
  <c r="D33" i="29"/>
  <c r="E33" i="29"/>
  <c r="D30" i="38"/>
  <c r="E30" i="38"/>
  <c r="H40" i="7"/>
  <c r="D41" i="7"/>
  <c r="E41" i="7"/>
  <c r="G28" i="42"/>
  <c r="D29" i="42"/>
  <c r="E29" i="42"/>
  <c r="G39" i="11"/>
  <c r="I39" i="11" s="1"/>
  <c r="D40" i="11"/>
  <c r="E40" i="11"/>
  <c r="G28" i="41"/>
  <c r="I28" i="41" s="1"/>
  <c r="D29" i="41"/>
  <c r="E29" i="41"/>
  <c r="G26" i="46"/>
  <c r="G29" i="39"/>
  <c r="I29" i="39" s="1"/>
  <c r="D30" i="39"/>
  <c r="E30" i="39"/>
  <c r="G40" i="7"/>
  <c r="H38" i="6"/>
  <c r="I38" i="6" s="1"/>
  <c r="D39" i="6"/>
  <c r="E39" i="6"/>
  <c r="H37" i="5"/>
  <c r="I37" i="5" s="1"/>
  <c r="D38" i="5"/>
  <c r="E38" i="5"/>
  <c r="H28" i="43"/>
  <c r="I28" i="43" s="1"/>
  <c r="D29" i="43"/>
  <c r="E29" i="43"/>
  <c r="H26" i="46"/>
  <c r="H29" i="37"/>
  <c r="I29" i="37" s="1"/>
  <c r="D30" i="37"/>
  <c r="E30" i="37"/>
  <c r="H37" i="4"/>
  <c r="H38" i="8"/>
  <c r="D39" i="8"/>
  <c r="E39" i="8"/>
  <c r="H28" i="42"/>
  <c r="G32" i="31"/>
  <c r="I32" i="31" s="1"/>
  <c r="D33" i="31"/>
  <c r="E33" i="31"/>
  <c r="G31" i="30"/>
  <c r="H27" i="51" l="1"/>
  <c r="G27" i="51"/>
  <c r="I27" i="51" s="1"/>
  <c r="E30" i="44"/>
  <c r="F30" i="44" s="1"/>
  <c r="E31" i="44" s="1"/>
  <c r="G24" i="52"/>
  <c r="H24" i="52"/>
  <c r="I24" i="52" s="1"/>
  <c r="E25" i="52"/>
  <c r="F25" i="52" s="1"/>
  <c r="E28" i="51"/>
  <c r="F28" i="51" s="1"/>
  <c r="B28" i="51"/>
  <c r="H38" i="22"/>
  <c r="D39" i="22"/>
  <c r="E39" i="22"/>
  <c r="B30" i="44"/>
  <c r="F23" i="50"/>
  <c r="D24" i="50" s="1"/>
  <c r="B25" i="52"/>
  <c r="H29" i="45"/>
  <c r="B23" i="50"/>
  <c r="G29" i="45"/>
  <c r="F27" i="46"/>
  <c r="G27" i="46" s="1"/>
  <c r="I28" i="42"/>
  <c r="I37" i="4"/>
  <c r="I26" i="46"/>
  <c r="B29" i="41"/>
  <c r="F29" i="41"/>
  <c r="H29" i="41" s="1"/>
  <c r="B27" i="46"/>
  <c r="B37" i="22"/>
  <c r="F39" i="8"/>
  <c r="H39" i="8" s="1"/>
  <c r="B39" i="8"/>
  <c r="B29" i="43"/>
  <c r="F29" i="43"/>
  <c r="G29" i="43" s="1"/>
  <c r="B38" i="3"/>
  <c r="F38" i="3"/>
  <c r="G38" i="3" s="1"/>
  <c r="B36" i="23"/>
  <c r="F36" i="23"/>
  <c r="G36" i="23" s="1"/>
  <c r="B29" i="42"/>
  <c r="F29" i="42"/>
  <c r="H29" i="42" s="1"/>
  <c r="I38" i="8"/>
  <c r="F41" i="7"/>
  <c r="G41" i="7" s="1"/>
  <c r="B41" i="7"/>
  <c r="B40" i="11"/>
  <c r="F40" i="11"/>
  <c r="G40" i="11" s="1"/>
  <c r="I40" i="7"/>
  <c r="I39" i="9"/>
  <c r="I31" i="30"/>
  <c r="B29" i="40"/>
  <c r="F29" i="40"/>
  <c r="G29" i="40" s="1"/>
  <c r="F39" i="6"/>
  <c r="G39" i="6" s="1"/>
  <c r="B39" i="6"/>
  <c r="F40" i="9"/>
  <c r="G40" i="9" s="1"/>
  <c r="B40" i="9"/>
  <c r="F32" i="30"/>
  <c r="G32" i="30" s="1"/>
  <c r="B32" i="30"/>
  <c r="F38" i="5"/>
  <c r="B38" i="5"/>
  <c r="F30" i="39"/>
  <c r="G30" i="39" s="1"/>
  <c r="B30" i="39"/>
  <c r="B38" i="4"/>
  <c r="F38" i="4"/>
  <c r="G38" i="4" s="1"/>
  <c r="B33" i="29"/>
  <c r="F33" i="29"/>
  <c r="G33" i="29" s="1"/>
  <c r="F33" i="31"/>
  <c r="G33" i="31" s="1"/>
  <c r="B33" i="31"/>
  <c r="B30" i="37"/>
  <c r="F30" i="37"/>
  <c r="G30" i="37" s="1"/>
  <c r="B30" i="38"/>
  <c r="F30" i="38"/>
  <c r="G30" i="38" s="1"/>
  <c r="B33" i="28"/>
  <c r="F33" i="28"/>
  <c r="G33" i="28" s="1"/>
  <c r="H33" i="27"/>
  <c r="I33" i="27" s="1"/>
  <c r="D34" i="27"/>
  <c r="E34" i="27"/>
  <c r="F41" i="10"/>
  <c r="H41" i="10" s="1"/>
  <c r="B41" i="10"/>
  <c r="B35" i="24"/>
  <c r="F35" i="24"/>
  <c r="B37" i="25"/>
  <c r="F37" i="25"/>
  <c r="H37" i="25" s="1"/>
  <c r="E30" i="45"/>
  <c r="F30" i="45" s="1"/>
  <c r="H30" i="45" s="1"/>
  <c r="B30" i="45"/>
  <c r="G25" i="52" l="1"/>
  <c r="D26" i="52"/>
  <c r="E26" i="52"/>
  <c r="F26" i="52" s="1"/>
  <c r="D27" i="52" s="1"/>
  <c r="D29" i="51"/>
  <c r="G28" i="51"/>
  <c r="H28" i="51"/>
  <c r="I28" i="51" s="1"/>
  <c r="E29" i="51"/>
  <c r="H25" i="52"/>
  <c r="I25" i="52" s="1"/>
  <c r="D31" i="44"/>
  <c r="F31" i="44" s="1"/>
  <c r="E32" i="44" s="1"/>
  <c r="G30" i="44"/>
  <c r="G23" i="50"/>
  <c r="H23" i="50"/>
  <c r="H30" i="44"/>
  <c r="F39" i="22"/>
  <c r="E24" i="50"/>
  <c r="F24" i="50" s="1"/>
  <c r="B24" i="50"/>
  <c r="I29" i="45"/>
  <c r="B26" i="52"/>
  <c r="D28" i="46"/>
  <c r="B28" i="46" s="1"/>
  <c r="E28" i="46"/>
  <c r="H27" i="46"/>
  <c r="I27" i="46" s="1"/>
  <c r="G29" i="41"/>
  <c r="I29" i="41" s="1"/>
  <c r="H38" i="4"/>
  <c r="I38" i="4" s="1"/>
  <c r="D39" i="4"/>
  <c r="E39" i="4"/>
  <c r="H39" i="6"/>
  <c r="I39" i="6" s="1"/>
  <c r="D40" i="6"/>
  <c r="E40" i="6"/>
  <c r="G39" i="8"/>
  <c r="I39" i="8" s="1"/>
  <c r="D40" i="8"/>
  <c r="E40" i="8"/>
  <c r="H30" i="38"/>
  <c r="I30" i="38" s="1"/>
  <c r="D31" i="38"/>
  <c r="E31" i="38"/>
  <c r="H32" i="30"/>
  <c r="I32" i="30" s="1"/>
  <c r="D33" i="30"/>
  <c r="E33" i="30"/>
  <c r="H29" i="40"/>
  <c r="I29" i="40" s="1"/>
  <c r="D30" i="40"/>
  <c r="E30" i="40"/>
  <c r="H38" i="3"/>
  <c r="I38" i="3" s="1"/>
  <c r="D39" i="3"/>
  <c r="E39" i="3" s="1"/>
  <c r="H35" i="24"/>
  <c r="D36" i="24"/>
  <c r="E36" i="24"/>
  <c r="G30" i="45"/>
  <c r="I30" i="45" s="1"/>
  <c r="D31" i="45"/>
  <c r="H33" i="31"/>
  <c r="I33" i="31" s="1"/>
  <c r="D34" i="31"/>
  <c r="E34" i="31"/>
  <c r="G29" i="42"/>
  <c r="I29" i="42" s="1"/>
  <c r="D30" i="42"/>
  <c r="E30" i="42"/>
  <c r="G41" i="10"/>
  <c r="I41" i="10" s="1"/>
  <c r="D42" i="10"/>
  <c r="E42" i="10"/>
  <c r="G37" i="25"/>
  <c r="I37" i="25" s="1"/>
  <c r="D38" i="25"/>
  <c r="E38" i="25"/>
  <c r="H30" i="39"/>
  <c r="I30" i="39" s="1"/>
  <c r="D31" i="39"/>
  <c r="E31" i="39"/>
  <c r="H36" i="23"/>
  <c r="I36" i="23" s="1"/>
  <c r="D37" i="23"/>
  <c r="E37" i="23"/>
  <c r="D30" i="41"/>
  <c r="E30" i="41"/>
  <c r="I37" i="22"/>
  <c r="H33" i="28"/>
  <c r="I33" i="28" s="1"/>
  <c r="D34" i="28"/>
  <c r="E34" i="28"/>
  <c r="H38" i="5"/>
  <c r="D39" i="5"/>
  <c r="E39" i="5"/>
  <c r="H40" i="11"/>
  <c r="I40" i="11" s="1"/>
  <c r="D41" i="11"/>
  <c r="E41" i="11"/>
  <c r="F34" i="27"/>
  <c r="B34" i="27"/>
  <c r="G35" i="24"/>
  <c r="H30" i="37"/>
  <c r="I30" i="37" s="1"/>
  <c r="D31" i="37"/>
  <c r="E31" i="37"/>
  <c r="H33" i="29"/>
  <c r="I33" i="29" s="1"/>
  <c r="D34" i="29"/>
  <c r="E34" i="29"/>
  <c r="G38" i="5"/>
  <c r="H40" i="9"/>
  <c r="I40" i="9" s="1"/>
  <c r="D41" i="9"/>
  <c r="E41" i="9"/>
  <c r="H41" i="7"/>
  <c r="I41" i="7" s="1"/>
  <c r="D42" i="7"/>
  <c r="E42" i="7"/>
  <c r="H29" i="43"/>
  <c r="I29" i="43" s="1"/>
  <c r="D30" i="43"/>
  <c r="E30" i="43"/>
  <c r="F29" i="51" l="1"/>
  <c r="D30" i="51" s="1"/>
  <c r="I23" i="50"/>
  <c r="B29" i="51"/>
  <c r="H29" i="51"/>
  <c r="G29" i="51"/>
  <c r="I30" i="44"/>
  <c r="B31" i="44"/>
  <c r="E30" i="51"/>
  <c r="F30" i="51" s="1"/>
  <c r="B30" i="51"/>
  <c r="D32" i="44"/>
  <c r="F32" i="44" s="1"/>
  <c r="H32" i="44" s="1"/>
  <c r="H31" i="44"/>
  <c r="G31" i="44"/>
  <c r="G26" i="52"/>
  <c r="H26" i="52"/>
  <c r="E27" i="52"/>
  <c r="F27" i="52" s="1"/>
  <c r="D28" i="52" s="1"/>
  <c r="D40" i="22"/>
  <c r="E40" i="22"/>
  <c r="H39" i="22"/>
  <c r="G39" i="22"/>
  <c r="D25" i="50"/>
  <c r="B25" i="50" s="1"/>
  <c r="H24" i="50"/>
  <c r="G24" i="50"/>
  <c r="N5" i="50" s="1"/>
  <c r="F28" i="46"/>
  <c r="G28" i="46" s="1"/>
  <c r="E25" i="50"/>
  <c r="F42" i="10"/>
  <c r="G42" i="10" s="1"/>
  <c r="I35" i="24"/>
  <c r="F42" i="7"/>
  <c r="G42" i="7" s="1"/>
  <c r="I38" i="5"/>
  <c r="B31" i="39"/>
  <c r="F31" i="39"/>
  <c r="H31" i="39" s="1"/>
  <c r="F34" i="29"/>
  <c r="G34" i="29" s="1"/>
  <c r="B34" i="29"/>
  <c r="B42" i="7"/>
  <c r="B30" i="41"/>
  <c r="F30" i="41"/>
  <c r="H30" i="41" s="1"/>
  <c r="F34" i="31"/>
  <c r="G34" i="31" s="1"/>
  <c r="B34" i="31"/>
  <c r="B33" i="30"/>
  <c r="F33" i="30"/>
  <c r="G33" i="30" s="1"/>
  <c r="F39" i="4"/>
  <c r="G39" i="4" s="1"/>
  <c r="B39" i="4"/>
  <c r="F31" i="37"/>
  <c r="B31" i="37"/>
  <c r="F34" i="28"/>
  <c r="G34" i="28" s="1"/>
  <c r="B34" i="28"/>
  <c r="B38" i="25"/>
  <c r="F38" i="25"/>
  <c r="H38" i="25" s="1"/>
  <c r="E31" i="45"/>
  <c r="F31" i="45" s="1"/>
  <c r="G31" i="45" s="1"/>
  <c r="B31" i="45"/>
  <c r="B39" i="3"/>
  <c r="F39" i="3"/>
  <c r="G39" i="3" s="1"/>
  <c r="F39" i="5"/>
  <c r="B39" i="5"/>
  <c r="B37" i="23"/>
  <c r="F37" i="23"/>
  <c r="H37" i="23" s="1"/>
  <c r="G34" i="27"/>
  <c r="D35" i="27"/>
  <c r="E35" i="27"/>
  <c r="B40" i="8"/>
  <c r="F40" i="8"/>
  <c r="G40" i="8" s="1"/>
  <c r="F41" i="11"/>
  <c r="G41" i="11" s="1"/>
  <c r="B41" i="11"/>
  <c r="F41" i="9"/>
  <c r="B41" i="9"/>
  <c r="B30" i="43"/>
  <c r="F30" i="43"/>
  <c r="G30" i="43" s="1"/>
  <c r="H34" i="27"/>
  <c r="B38" i="22"/>
  <c r="B42" i="10"/>
  <c r="F30" i="42"/>
  <c r="G30" i="42" s="1"/>
  <c r="B30" i="42"/>
  <c r="F36" i="24"/>
  <c r="G36" i="24" s="1"/>
  <c r="B36" i="24"/>
  <c r="F30" i="40"/>
  <c r="H30" i="40" s="1"/>
  <c r="B30" i="40"/>
  <c r="F31" i="38"/>
  <c r="H31" i="38" s="1"/>
  <c r="B31" i="38"/>
  <c r="B40" i="6"/>
  <c r="F40" i="6"/>
  <c r="G40" i="6" s="1"/>
  <c r="I31" i="44" l="1"/>
  <c r="D31" i="51"/>
  <c r="E31" i="51" s="1"/>
  <c r="F31" i="51" s="1"/>
  <c r="G30" i="51"/>
  <c r="H30" i="51"/>
  <c r="I30" i="51" s="1"/>
  <c r="I29" i="51"/>
  <c r="E33" i="44"/>
  <c r="B32" i="44"/>
  <c r="D33" i="44"/>
  <c r="B33" i="44" s="1"/>
  <c r="G32" i="44"/>
  <c r="I32" i="44" s="1"/>
  <c r="E28" i="52"/>
  <c r="F28" i="52" s="1"/>
  <c r="G28" i="52" s="1"/>
  <c r="H27" i="52"/>
  <c r="G27" i="52"/>
  <c r="F25" i="50"/>
  <c r="H25" i="50" s="1"/>
  <c r="N7" i="50"/>
  <c r="M19" i="1"/>
  <c r="O19" i="1" s="1"/>
  <c r="F40" i="22"/>
  <c r="I26" i="52"/>
  <c r="E29" i="46"/>
  <c r="H28" i="46"/>
  <c r="I28" i="46" s="1"/>
  <c r="I24" i="50"/>
  <c r="D29" i="46"/>
  <c r="B27" i="52"/>
  <c r="H42" i="7"/>
  <c r="I42" i="7" s="1"/>
  <c r="D43" i="10"/>
  <c r="B43" i="10" s="1"/>
  <c r="E43" i="7"/>
  <c r="E43" i="10"/>
  <c r="D43" i="7"/>
  <c r="B43" i="7" s="1"/>
  <c r="H42" i="10"/>
  <c r="I42" i="10" s="1"/>
  <c r="G30" i="40"/>
  <c r="I30" i="40" s="1"/>
  <c r="I34" i="27"/>
  <c r="G38" i="25"/>
  <c r="I38" i="25" s="1"/>
  <c r="D39" i="25"/>
  <c r="E39" i="25"/>
  <c r="H36" i="24"/>
  <c r="I36" i="24" s="1"/>
  <c r="D37" i="24"/>
  <c r="E37" i="24"/>
  <c r="I38" i="22"/>
  <c r="H39" i="3"/>
  <c r="I39" i="3" s="1"/>
  <c r="D40" i="3"/>
  <c r="E40" i="3" s="1"/>
  <c r="H39" i="5"/>
  <c r="D40" i="5"/>
  <c r="E40" i="5"/>
  <c r="H31" i="37"/>
  <c r="D32" i="37"/>
  <c r="E32" i="37"/>
  <c r="H40" i="8"/>
  <c r="I40" i="8" s="1"/>
  <c r="D41" i="8"/>
  <c r="E41" i="8"/>
  <c r="H34" i="31"/>
  <c r="I34" i="31" s="1"/>
  <c r="D35" i="31"/>
  <c r="E35" i="31"/>
  <c r="G37" i="23"/>
  <c r="I37" i="23" s="1"/>
  <c r="D38" i="23"/>
  <c r="E38" i="23"/>
  <c r="H34" i="29"/>
  <c r="I34" i="29" s="1"/>
  <c r="D35" i="29"/>
  <c r="E35" i="29"/>
  <c r="B35" i="27"/>
  <c r="F35" i="27"/>
  <c r="G35" i="27" s="1"/>
  <c r="H30" i="43"/>
  <c r="I30" i="43" s="1"/>
  <c r="D31" i="43"/>
  <c r="E31" i="43"/>
  <c r="H34" i="28"/>
  <c r="I34" i="28" s="1"/>
  <c r="D35" i="28"/>
  <c r="E35" i="28"/>
  <c r="H33" i="30"/>
  <c r="I33" i="30" s="1"/>
  <c r="D34" i="30"/>
  <c r="E34" i="30"/>
  <c r="G30" i="41"/>
  <c r="I30" i="41" s="1"/>
  <c r="D31" i="41"/>
  <c r="E31" i="41"/>
  <c r="G31" i="38"/>
  <c r="I31" i="38" s="1"/>
  <c r="D32" i="38"/>
  <c r="E32" i="38"/>
  <c r="H30" i="42"/>
  <c r="I30" i="42" s="1"/>
  <c r="D31" i="42"/>
  <c r="E31" i="42"/>
  <c r="G39" i="5"/>
  <c r="H31" i="45"/>
  <c r="I31" i="45" s="1"/>
  <c r="D32" i="45"/>
  <c r="E32" i="45"/>
  <c r="G31" i="37"/>
  <c r="G31" i="39"/>
  <c r="I31" i="39" s="1"/>
  <c r="D32" i="39"/>
  <c r="E32" i="39"/>
  <c r="H41" i="9"/>
  <c r="D42" i="9"/>
  <c r="E42" i="9"/>
  <c r="H39" i="4"/>
  <c r="I39" i="4" s="1"/>
  <c r="D40" i="4"/>
  <c r="E40" i="4"/>
  <c r="H40" i="6"/>
  <c r="I40" i="6" s="1"/>
  <c r="D41" i="6"/>
  <c r="E41" i="6"/>
  <c r="D31" i="40"/>
  <c r="E31" i="40"/>
  <c r="G41" i="9"/>
  <c r="H41" i="11"/>
  <c r="I41" i="11" s="1"/>
  <c r="D42" i="11"/>
  <c r="E42" i="11"/>
  <c r="F33" i="44" l="1"/>
  <c r="H33" i="44" s="1"/>
  <c r="E29" i="52"/>
  <c r="B31" i="51"/>
  <c r="D29" i="52"/>
  <c r="O20" i="1"/>
  <c r="H28" i="52"/>
  <c r="D32" i="51"/>
  <c r="G31" i="51"/>
  <c r="H31" i="51"/>
  <c r="D26" i="50"/>
  <c r="B26" i="50" s="1"/>
  <c r="E26" i="50"/>
  <c r="G25" i="50"/>
  <c r="I25" i="50" s="1"/>
  <c r="M20" i="1"/>
  <c r="R132" i="1"/>
  <c r="F29" i="52"/>
  <c r="E30" i="52" s="1"/>
  <c r="F29" i="46"/>
  <c r="G29" i="46" s="1"/>
  <c r="D41" i="22"/>
  <c r="E41" i="22"/>
  <c r="H40" i="22"/>
  <c r="G40" i="22"/>
  <c r="B29" i="46"/>
  <c r="F56" i="17"/>
  <c r="I27" i="52"/>
  <c r="F43" i="7"/>
  <c r="H43" i="7" s="1"/>
  <c r="F43" i="10"/>
  <c r="G43" i="10" s="1"/>
  <c r="F42" i="11"/>
  <c r="H42" i="11" s="1"/>
  <c r="F32" i="45"/>
  <c r="D33" i="45" s="1"/>
  <c r="F41" i="6"/>
  <c r="H41" i="6" s="1"/>
  <c r="F41" i="8"/>
  <c r="H41" i="8" s="1"/>
  <c r="F42" i="9"/>
  <c r="G42" i="9" s="1"/>
  <c r="F40" i="4"/>
  <c r="H40" i="4" s="1"/>
  <c r="F31" i="40"/>
  <c r="G31" i="40" s="1"/>
  <c r="B31" i="40"/>
  <c r="B41" i="6"/>
  <c r="I31" i="37"/>
  <c r="B35" i="31"/>
  <c r="F35" i="31"/>
  <c r="H35" i="31" s="1"/>
  <c r="F39" i="25"/>
  <c r="H39" i="25" s="1"/>
  <c r="B39" i="25"/>
  <c r="F32" i="37"/>
  <c r="H32" i="37" s="1"/>
  <c r="B32" i="37"/>
  <c r="F35" i="28"/>
  <c r="G35" i="28" s="1"/>
  <c r="B35" i="28"/>
  <c r="B42" i="11"/>
  <c r="B42" i="9"/>
  <c r="B32" i="45"/>
  <c r="F31" i="43"/>
  <c r="H31" i="43" s="1"/>
  <c r="B31" i="43"/>
  <c r="I39" i="5"/>
  <c r="B39" i="22"/>
  <c r="G33" i="44"/>
  <c r="I33" i="44" s="1"/>
  <c r="B31" i="42"/>
  <c r="F31" i="42"/>
  <c r="G31" i="42" s="1"/>
  <c r="I41" i="9"/>
  <c r="B32" i="38"/>
  <c r="F32" i="38"/>
  <c r="G32" i="38" s="1"/>
  <c r="B41" i="8"/>
  <c r="F35" i="29"/>
  <c r="B35" i="29"/>
  <c r="B40" i="4"/>
  <c r="B34" i="30"/>
  <c r="F34" i="30"/>
  <c r="G34" i="30" s="1"/>
  <c r="B40" i="3"/>
  <c r="F40" i="3"/>
  <c r="B32" i="39"/>
  <c r="F32" i="39"/>
  <c r="H32" i="39" s="1"/>
  <c r="D30" i="46"/>
  <c r="F31" i="41"/>
  <c r="G31" i="41" s="1"/>
  <c r="B31" i="41"/>
  <c r="B40" i="5"/>
  <c r="F40" i="5"/>
  <c r="G40" i="5" s="1"/>
  <c r="D34" i="44"/>
  <c r="E34" i="44"/>
  <c r="H35" i="27"/>
  <c r="I35" i="27" s="1"/>
  <c r="D36" i="27"/>
  <c r="E36" i="27"/>
  <c r="B38" i="23"/>
  <c r="F38" i="23"/>
  <c r="G38" i="23" s="1"/>
  <c r="B37" i="24"/>
  <c r="F37" i="24"/>
  <c r="H37" i="24" s="1"/>
  <c r="I31" i="51" l="1"/>
  <c r="D30" i="52"/>
  <c r="F26" i="50"/>
  <c r="G26" i="50" s="1"/>
  <c r="E30" i="46"/>
  <c r="E32" i="51"/>
  <c r="F32" i="51" s="1"/>
  <c r="B32" i="51"/>
  <c r="H29" i="46"/>
  <c r="I29" i="46" s="1"/>
  <c r="G29" i="52"/>
  <c r="H29" i="52"/>
  <c r="F41" i="22"/>
  <c r="G41" i="22" s="1"/>
  <c r="F30" i="52"/>
  <c r="G30" i="52" s="1"/>
  <c r="D27" i="50"/>
  <c r="B27" i="50" s="1"/>
  <c r="H26" i="50"/>
  <c r="I26" i="50" s="1"/>
  <c r="D44" i="10"/>
  <c r="B44" i="10" s="1"/>
  <c r="D43" i="11"/>
  <c r="B43" i="11" s="1"/>
  <c r="E27" i="50"/>
  <c r="B28" i="52"/>
  <c r="G42" i="11"/>
  <c r="I42" i="11" s="1"/>
  <c r="H43" i="10"/>
  <c r="I43" i="10" s="1"/>
  <c r="E44" i="7"/>
  <c r="D44" i="7"/>
  <c r="G43" i="7"/>
  <c r="I43" i="7" s="1"/>
  <c r="E43" i="11"/>
  <c r="E44" i="10"/>
  <c r="H42" i="9"/>
  <c r="I42" i="9" s="1"/>
  <c r="E43" i="9"/>
  <c r="G40" i="4"/>
  <c r="I40" i="4" s="1"/>
  <c r="E41" i="4"/>
  <c r="D43" i="9"/>
  <c r="B43" i="9" s="1"/>
  <c r="D41" i="4"/>
  <c r="E33" i="45"/>
  <c r="F33" i="45" s="1"/>
  <c r="D34" i="45" s="1"/>
  <c r="B34" i="45" s="1"/>
  <c r="G32" i="45"/>
  <c r="H32" i="45"/>
  <c r="G41" i="6"/>
  <c r="I41" i="6" s="1"/>
  <c r="H31" i="40"/>
  <c r="I31" i="40" s="1"/>
  <c r="G41" i="8"/>
  <c r="I41" i="8" s="1"/>
  <c r="E42" i="8"/>
  <c r="E42" i="6"/>
  <c r="D42" i="8"/>
  <c r="D42" i="6"/>
  <c r="H31" i="41"/>
  <c r="I31" i="41" s="1"/>
  <c r="G31" i="43"/>
  <c r="I31" i="43" s="1"/>
  <c r="G32" i="37"/>
  <c r="I32" i="37" s="1"/>
  <c r="H35" i="29"/>
  <c r="D36" i="29"/>
  <c r="E36" i="29"/>
  <c r="H38" i="23"/>
  <c r="I38" i="23" s="1"/>
  <c r="D39" i="23"/>
  <c r="E39" i="23"/>
  <c r="H40" i="5"/>
  <c r="I40" i="5" s="1"/>
  <c r="D41" i="5"/>
  <c r="E41" i="5"/>
  <c r="I39" i="22"/>
  <c r="G39" i="25"/>
  <c r="I39" i="25" s="1"/>
  <c r="D40" i="25"/>
  <c r="E40" i="25"/>
  <c r="B30" i="46"/>
  <c r="F30" i="46"/>
  <c r="H30" i="46" s="1"/>
  <c r="H34" i="30"/>
  <c r="I34" i="30" s="1"/>
  <c r="D35" i="30"/>
  <c r="E35" i="30"/>
  <c r="H35" i="28"/>
  <c r="I35" i="28" s="1"/>
  <c r="D36" i="28"/>
  <c r="E36" i="28"/>
  <c r="F36" i="27"/>
  <c r="G36" i="27" s="1"/>
  <c r="G32" i="39"/>
  <c r="I32" i="39" s="1"/>
  <c r="D33" i="39"/>
  <c r="E33" i="39"/>
  <c r="B33" i="45"/>
  <c r="G35" i="31"/>
  <c r="I35" i="31" s="1"/>
  <c r="D36" i="31"/>
  <c r="E36" i="31"/>
  <c r="H32" i="38"/>
  <c r="I32" i="38" s="1"/>
  <c r="D33" i="38"/>
  <c r="E33" i="38"/>
  <c r="B34" i="44"/>
  <c r="H31" i="42"/>
  <c r="I31" i="42" s="1"/>
  <c r="D32" i="42"/>
  <c r="E32" i="42"/>
  <c r="D32" i="40"/>
  <c r="E32" i="40"/>
  <c r="H40" i="3"/>
  <c r="D41" i="3"/>
  <c r="E41" i="3"/>
  <c r="D32" i="43"/>
  <c r="E32" i="43"/>
  <c r="B36" i="27"/>
  <c r="G37" i="24"/>
  <c r="I37" i="24" s="1"/>
  <c r="D38" i="24"/>
  <c r="E38" i="24"/>
  <c r="F34" i="44"/>
  <c r="H34" i="44" s="1"/>
  <c r="D32" i="41"/>
  <c r="E32" i="41"/>
  <c r="G40" i="3"/>
  <c r="G35" i="29"/>
  <c r="D33" i="37"/>
  <c r="E33" i="37"/>
  <c r="D33" i="51" l="1"/>
  <c r="G32" i="51"/>
  <c r="H32" i="51"/>
  <c r="I32" i="51" s="1"/>
  <c r="H30" i="52"/>
  <c r="F44" i="7"/>
  <c r="G44" i="7" s="1"/>
  <c r="F27" i="50"/>
  <c r="G27" i="50" s="1"/>
  <c r="H41" i="22"/>
  <c r="D42" i="22"/>
  <c r="E42" i="22"/>
  <c r="D31" i="52"/>
  <c r="E31" i="52"/>
  <c r="F43" i="11"/>
  <c r="G43" i="11" s="1"/>
  <c r="F44" i="10"/>
  <c r="G44" i="10" s="1"/>
  <c r="B44" i="7"/>
  <c r="I28" i="52"/>
  <c r="I32" i="45"/>
  <c r="F41" i="4"/>
  <c r="D42" i="4" s="1"/>
  <c r="B41" i="4"/>
  <c r="F43" i="9"/>
  <c r="H33" i="45"/>
  <c r="F42" i="8"/>
  <c r="G42" i="8" s="1"/>
  <c r="G33" i="45"/>
  <c r="E34" i="45"/>
  <c r="F34" i="45" s="1"/>
  <c r="H34" i="45" s="1"/>
  <c r="F41" i="5"/>
  <c r="D42" i="5" s="1"/>
  <c r="B42" i="8"/>
  <c r="F40" i="25"/>
  <c r="D41" i="25" s="1"/>
  <c r="F42" i="6"/>
  <c r="G42" i="6" s="1"/>
  <c r="B42" i="6"/>
  <c r="F39" i="23"/>
  <c r="H39" i="23" s="1"/>
  <c r="F41" i="3"/>
  <c r="D42" i="3" s="1"/>
  <c r="I35" i="29"/>
  <c r="F32" i="40"/>
  <c r="H32" i="40" s="1"/>
  <c r="B32" i="40"/>
  <c r="F35" i="30"/>
  <c r="G35" i="30" s="1"/>
  <c r="B35" i="30"/>
  <c r="B41" i="5"/>
  <c r="F38" i="24"/>
  <c r="G38" i="24" s="1"/>
  <c r="B38" i="24"/>
  <c r="B40" i="25"/>
  <c r="F36" i="29"/>
  <c r="G36" i="29" s="1"/>
  <c r="B36" i="29"/>
  <c r="F32" i="42"/>
  <c r="H32" i="42" s="1"/>
  <c r="B32" i="42"/>
  <c r="G30" i="46"/>
  <c r="I30" i="46" s="1"/>
  <c r="D31" i="46"/>
  <c r="E31" i="46"/>
  <c r="B39" i="23"/>
  <c r="F36" i="31"/>
  <c r="H36" i="31" s="1"/>
  <c r="B36" i="31"/>
  <c r="B33" i="39"/>
  <c r="F33" i="39"/>
  <c r="H33" i="39" s="1"/>
  <c r="B40" i="22"/>
  <c r="D35" i="44"/>
  <c r="E35" i="44"/>
  <c r="H36" i="27"/>
  <c r="I36" i="27" s="1"/>
  <c r="D37" i="27"/>
  <c r="E37" i="27"/>
  <c r="G34" i="44"/>
  <c r="I34" i="44" s="1"/>
  <c r="E45" i="7"/>
  <c r="B36" i="28"/>
  <c r="F36" i="28"/>
  <c r="H36" i="28" s="1"/>
  <c r="B41" i="3"/>
  <c r="F33" i="37"/>
  <c r="B33" i="37"/>
  <c r="F32" i="41"/>
  <c r="G32" i="41" s="1"/>
  <c r="B32" i="41"/>
  <c r="B32" i="43"/>
  <c r="F32" i="43"/>
  <c r="H32" i="43" s="1"/>
  <c r="I40" i="3"/>
  <c r="B33" i="38"/>
  <c r="F33" i="38"/>
  <c r="G33" i="38" s="1"/>
  <c r="H44" i="10"/>
  <c r="I44" i="10" s="1"/>
  <c r="E45" i="10"/>
  <c r="D28" i="50" l="1"/>
  <c r="E33" i="51"/>
  <c r="B33" i="51"/>
  <c r="F33" i="51"/>
  <c r="D34" i="51" s="1"/>
  <c r="D45" i="7"/>
  <c r="F45" i="7" s="1"/>
  <c r="G45" i="7" s="1"/>
  <c r="D45" i="10"/>
  <c r="F45" i="10" s="1"/>
  <c r="H44" i="7"/>
  <c r="I44" i="7" s="1"/>
  <c r="H27" i="50"/>
  <c r="I27" i="50" s="1"/>
  <c r="H43" i="11"/>
  <c r="I43" i="11" s="1"/>
  <c r="D44" i="11"/>
  <c r="B44" i="11" s="1"/>
  <c r="F42" i="22"/>
  <c r="H42" i="22" s="1"/>
  <c r="E44" i="11"/>
  <c r="F31" i="52"/>
  <c r="E28" i="50"/>
  <c r="F28" i="50" s="1"/>
  <c r="D29" i="50" s="1"/>
  <c r="B28" i="50"/>
  <c r="G41" i="4"/>
  <c r="B29" i="52"/>
  <c r="E42" i="5"/>
  <c r="F42" i="5" s="1"/>
  <c r="G42" i="5" s="1"/>
  <c r="H41" i="4"/>
  <c r="E42" i="4"/>
  <c r="F42" i="4" s="1"/>
  <c r="E43" i="4" s="1"/>
  <c r="I33" i="45"/>
  <c r="G43" i="9"/>
  <c r="D44" i="9"/>
  <c r="E44" i="9"/>
  <c r="H43" i="9"/>
  <c r="G41" i="3"/>
  <c r="G34" i="45"/>
  <c r="I34" i="45" s="1"/>
  <c r="F37" i="27"/>
  <c r="G37" i="27" s="1"/>
  <c r="G41" i="5"/>
  <c r="D43" i="8"/>
  <c r="B43" i="8" s="1"/>
  <c r="H41" i="5"/>
  <c r="H42" i="8"/>
  <c r="I42" i="8" s="1"/>
  <c r="E43" i="8"/>
  <c r="D35" i="45"/>
  <c r="B35" i="45" s="1"/>
  <c r="G40" i="25"/>
  <c r="H42" i="6"/>
  <c r="I42" i="6" s="1"/>
  <c r="E42" i="3"/>
  <c r="F42" i="3" s="1"/>
  <c r="G42" i="3" s="1"/>
  <c r="E41" i="25"/>
  <c r="F41" i="25" s="1"/>
  <c r="G41" i="25" s="1"/>
  <c r="H40" i="25"/>
  <c r="E40" i="23"/>
  <c r="G39" i="23"/>
  <c r="I39" i="23" s="1"/>
  <c r="D43" i="6"/>
  <c r="E43" i="6"/>
  <c r="D40" i="23"/>
  <c r="H41" i="3"/>
  <c r="G32" i="40"/>
  <c r="I32" i="40" s="1"/>
  <c r="F35" i="44"/>
  <c r="H35" i="44" s="1"/>
  <c r="G33" i="37"/>
  <c r="D34" i="37"/>
  <c r="E34" i="37"/>
  <c r="E35" i="45"/>
  <c r="B35" i="44"/>
  <c r="H38" i="24"/>
  <c r="I38" i="24" s="1"/>
  <c r="D39" i="24"/>
  <c r="E39" i="24"/>
  <c r="H35" i="30"/>
  <c r="I35" i="30" s="1"/>
  <c r="D36" i="30"/>
  <c r="E36" i="30"/>
  <c r="B42" i="4"/>
  <c r="G32" i="42"/>
  <c r="I32" i="42" s="1"/>
  <c r="D33" i="42"/>
  <c r="E33" i="42"/>
  <c r="G32" i="43"/>
  <c r="I32" i="43" s="1"/>
  <c r="D33" i="43"/>
  <c r="E33" i="43"/>
  <c r="G36" i="31"/>
  <c r="I36" i="31" s="1"/>
  <c r="D37" i="31"/>
  <c r="E37" i="31"/>
  <c r="I40" i="22"/>
  <c r="G36" i="28"/>
  <c r="I36" i="28" s="1"/>
  <c r="D37" i="28"/>
  <c r="E37" i="28"/>
  <c r="H32" i="41"/>
  <c r="I32" i="41" s="1"/>
  <c r="D33" i="41"/>
  <c r="E33" i="41"/>
  <c r="B41" i="25"/>
  <c r="D33" i="40"/>
  <c r="E33" i="40"/>
  <c r="G33" i="39"/>
  <c r="I33" i="39" s="1"/>
  <c r="D34" i="39"/>
  <c r="E34" i="39"/>
  <c r="B42" i="5"/>
  <c r="H33" i="38"/>
  <c r="I33" i="38" s="1"/>
  <c r="D34" i="38"/>
  <c r="E34" i="38"/>
  <c r="H33" i="37"/>
  <c r="B37" i="27"/>
  <c r="B42" i="3"/>
  <c r="B31" i="46"/>
  <c r="F31" i="46"/>
  <c r="G31" i="46" s="1"/>
  <c r="H36" i="29"/>
  <c r="I36" i="29" s="1"/>
  <c r="D37" i="29"/>
  <c r="E37" i="29"/>
  <c r="B45" i="10" l="1"/>
  <c r="H33" i="51"/>
  <c r="G33" i="51"/>
  <c r="B45" i="7"/>
  <c r="E34" i="51"/>
  <c r="F34" i="51" s="1"/>
  <c r="B34" i="51"/>
  <c r="F44" i="11"/>
  <c r="G44" i="11" s="1"/>
  <c r="G42" i="22"/>
  <c r="D43" i="22"/>
  <c r="E43" i="22"/>
  <c r="D32" i="52"/>
  <c r="E32" i="52"/>
  <c r="G31" i="52"/>
  <c r="H31" i="52"/>
  <c r="G28" i="50"/>
  <c r="H28" i="50"/>
  <c r="I41" i="4"/>
  <c r="E29" i="50"/>
  <c r="F29" i="50" s="1"/>
  <c r="H29" i="50" s="1"/>
  <c r="B29" i="50"/>
  <c r="I43" i="9"/>
  <c r="B44" i="9"/>
  <c r="F44" i="9"/>
  <c r="G44" i="9" s="1"/>
  <c r="I41" i="3"/>
  <c r="I41" i="5"/>
  <c r="F43" i="8"/>
  <c r="G43" i="8" s="1"/>
  <c r="E38" i="27"/>
  <c r="D38" i="27"/>
  <c r="B38" i="27" s="1"/>
  <c r="I40" i="25"/>
  <c r="H37" i="27"/>
  <c r="I37" i="27" s="1"/>
  <c r="F35" i="45"/>
  <c r="H35" i="45" s="1"/>
  <c r="H41" i="25"/>
  <c r="I41" i="25" s="1"/>
  <c r="F40" i="23"/>
  <c r="G40" i="23" s="1"/>
  <c r="B40" i="23"/>
  <c r="E36" i="44"/>
  <c r="B43" i="6"/>
  <c r="F43" i="6"/>
  <c r="D42" i="25"/>
  <c r="B42" i="25" s="1"/>
  <c r="D36" i="44"/>
  <c r="H31" i="46"/>
  <c r="I31" i="46" s="1"/>
  <c r="D43" i="4"/>
  <c r="B43" i="4" s="1"/>
  <c r="F39" i="24"/>
  <c r="G39" i="24" s="1"/>
  <c r="H42" i="4"/>
  <c r="G42" i="4"/>
  <c r="E42" i="25"/>
  <c r="I33" i="37"/>
  <c r="G35" i="44"/>
  <c r="I35" i="44" s="1"/>
  <c r="F37" i="31"/>
  <c r="D38" i="31" s="1"/>
  <c r="G45" i="10"/>
  <c r="D46" i="10"/>
  <c r="E46" i="10"/>
  <c r="F37" i="29"/>
  <c r="G37" i="29" s="1"/>
  <c r="B34" i="38"/>
  <c r="F34" i="38"/>
  <c r="H34" i="38" s="1"/>
  <c r="F34" i="39"/>
  <c r="H34" i="39" s="1"/>
  <c r="B34" i="39"/>
  <c r="B37" i="31"/>
  <c r="B33" i="42"/>
  <c r="F33" i="42"/>
  <c r="H33" i="42" s="1"/>
  <c r="F36" i="30"/>
  <c r="G36" i="30" s="1"/>
  <c r="B37" i="29"/>
  <c r="F34" i="37"/>
  <c r="H34" i="37" s="1"/>
  <c r="B34" i="37"/>
  <c r="B33" i="41"/>
  <c r="F33" i="41"/>
  <c r="H33" i="41" s="1"/>
  <c r="H45" i="7"/>
  <c r="I45" i="7" s="1"/>
  <c r="D46" i="7"/>
  <c r="E46" i="7"/>
  <c r="B33" i="43"/>
  <c r="F33" i="43"/>
  <c r="G33" i="43" s="1"/>
  <c r="H42" i="3"/>
  <c r="I42" i="3" s="1"/>
  <c r="D43" i="3"/>
  <c r="E43" i="3" s="1"/>
  <c r="B36" i="30"/>
  <c r="H42" i="5"/>
  <c r="I42" i="5" s="1"/>
  <c r="D43" i="5"/>
  <c r="E43" i="5"/>
  <c r="B33" i="40"/>
  <c r="F33" i="40"/>
  <c r="G33" i="40" s="1"/>
  <c r="B39" i="24"/>
  <c r="D32" i="46"/>
  <c r="E32" i="46"/>
  <c r="B37" i="28"/>
  <c r="F37" i="28"/>
  <c r="G37" i="28" s="1"/>
  <c r="B41" i="22"/>
  <c r="H45" i="10"/>
  <c r="H44" i="11" l="1"/>
  <c r="I44" i="11" s="1"/>
  <c r="I33" i="51"/>
  <c r="D45" i="11"/>
  <c r="B45" i="11" s="1"/>
  <c r="D35" i="51"/>
  <c r="G34" i="51"/>
  <c r="H34" i="51"/>
  <c r="E45" i="11"/>
  <c r="F45" i="11" s="1"/>
  <c r="G45" i="11" s="1"/>
  <c r="I28" i="50"/>
  <c r="F43" i="22"/>
  <c r="H43" i="22" s="1"/>
  <c r="F32" i="52"/>
  <c r="G32" i="52" s="1"/>
  <c r="I29" i="52"/>
  <c r="G29" i="50"/>
  <c r="I29" i="50" s="1"/>
  <c r="D30" i="50"/>
  <c r="B30" i="52"/>
  <c r="B42" i="22"/>
  <c r="F38" i="27"/>
  <c r="G38" i="27" s="1"/>
  <c r="H40" i="23"/>
  <c r="I40" i="23" s="1"/>
  <c r="D41" i="23"/>
  <c r="B41" i="23" s="1"/>
  <c r="E44" i="8"/>
  <c r="H44" i="9"/>
  <c r="I44" i="9" s="1"/>
  <c r="D45" i="9"/>
  <c r="E45" i="9"/>
  <c r="E41" i="23"/>
  <c r="D44" i="8"/>
  <c r="B44" i="8" s="1"/>
  <c r="H43" i="8"/>
  <c r="I43" i="8" s="1"/>
  <c r="G35" i="45"/>
  <c r="I35" i="45" s="1"/>
  <c r="D36" i="45"/>
  <c r="B36" i="45" s="1"/>
  <c r="F36" i="44"/>
  <c r="H36" i="44" s="1"/>
  <c r="B36" i="44"/>
  <c r="F43" i="4"/>
  <c r="G43" i="4" s="1"/>
  <c r="F42" i="25"/>
  <c r="G43" i="6"/>
  <c r="D44" i="6"/>
  <c r="H43" i="6"/>
  <c r="E44" i="6"/>
  <c r="H37" i="31"/>
  <c r="I42" i="4"/>
  <c r="G37" i="31"/>
  <c r="H39" i="24"/>
  <c r="I39" i="24" s="1"/>
  <c r="E40" i="24"/>
  <c r="D40" i="24"/>
  <c r="B40" i="24" s="1"/>
  <c r="E38" i="31"/>
  <c r="F38" i="31" s="1"/>
  <c r="G38" i="31" s="1"/>
  <c r="I45" i="10"/>
  <c r="F43" i="3"/>
  <c r="F43" i="5"/>
  <c r="G43" i="5" s="1"/>
  <c r="F32" i="46"/>
  <c r="D33" i="46" s="1"/>
  <c r="D34" i="40"/>
  <c r="E34" i="40"/>
  <c r="G33" i="41"/>
  <c r="I33" i="41" s="1"/>
  <c r="D34" i="41"/>
  <c r="E34" i="41"/>
  <c r="H36" i="30"/>
  <c r="I36" i="30" s="1"/>
  <c r="D37" i="30"/>
  <c r="E37" i="30"/>
  <c r="B43" i="3"/>
  <c r="B43" i="5"/>
  <c r="H33" i="43"/>
  <c r="I33" i="43" s="1"/>
  <c r="D34" i="43"/>
  <c r="E34" i="43"/>
  <c r="B46" i="7"/>
  <c r="F46" i="7"/>
  <c r="G46" i="7" s="1"/>
  <c r="G33" i="42"/>
  <c r="I33" i="42" s="1"/>
  <c r="D34" i="42"/>
  <c r="I41" i="22"/>
  <c r="F46" i="10"/>
  <c r="G46" i="10" s="1"/>
  <c r="B46" i="10"/>
  <c r="G34" i="39"/>
  <c r="I34" i="39" s="1"/>
  <c r="D35" i="39"/>
  <c r="E35" i="39"/>
  <c r="B32" i="46"/>
  <c r="H37" i="28"/>
  <c r="I37" i="28" s="1"/>
  <c r="D38" i="28"/>
  <c r="E38" i="28"/>
  <c r="B38" i="31"/>
  <c r="E36" i="45"/>
  <c r="H37" i="29"/>
  <c r="I37" i="29" s="1"/>
  <c r="D38" i="29"/>
  <c r="E38" i="29"/>
  <c r="G34" i="37"/>
  <c r="I34" i="37" s="1"/>
  <c r="D35" i="37"/>
  <c r="H33" i="40"/>
  <c r="I33" i="40" s="1"/>
  <c r="G34" i="38"/>
  <c r="I34" i="38" s="1"/>
  <c r="D35" i="38"/>
  <c r="I34" i="51" l="1"/>
  <c r="E35" i="51"/>
  <c r="B35" i="51"/>
  <c r="F35" i="51"/>
  <c r="D36" i="51" s="1"/>
  <c r="E46" i="11"/>
  <c r="D46" i="11"/>
  <c r="H45" i="11"/>
  <c r="I45" i="11" s="1"/>
  <c r="G43" i="22"/>
  <c r="D44" i="22"/>
  <c r="E44" i="22"/>
  <c r="H32" i="52"/>
  <c r="D33" i="52"/>
  <c r="E33" i="52"/>
  <c r="E39" i="27"/>
  <c r="D39" i="27"/>
  <c r="B39" i="27" s="1"/>
  <c r="H38" i="27"/>
  <c r="I38" i="27" s="1"/>
  <c r="B31" i="52"/>
  <c r="E30" i="50"/>
  <c r="F30" i="50" s="1"/>
  <c r="B30" i="50"/>
  <c r="G36" i="44"/>
  <c r="I36" i="44" s="1"/>
  <c r="F44" i="8"/>
  <c r="F36" i="45"/>
  <c r="G36" i="45" s="1"/>
  <c r="F41" i="23"/>
  <c r="G41" i="23" s="1"/>
  <c r="B45" i="9"/>
  <c r="F45" i="9"/>
  <c r="G45" i="9" s="1"/>
  <c r="E37" i="44"/>
  <c r="D37" i="44"/>
  <c r="B37" i="44" s="1"/>
  <c r="E33" i="46"/>
  <c r="F33" i="46" s="1"/>
  <c r="G33" i="46" s="1"/>
  <c r="G32" i="46"/>
  <c r="I43" i="6"/>
  <c r="F44" i="6"/>
  <c r="G44" i="6" s="1"/>
  <c r="I37" i="31"/>
  <c r="H32" i="46"/>
  <c r="D44" i="4"/>
  <c r="E44" i="4"/>
  <c r="H43" i="4"/>
  <c r="I43" i="4" s="1"/>
  <c r="B44" i="6"/>
  <c r="D39" i="31"/>
  <c r="B39" i="31" s="1"/>
  <c r="H38" i="31"/>
  <c r="I38" i="31" s="1"/>
  <c r="E39" i="31"/>
  <c r="E43" i="25"/>
  <c r="D43" i="25"/>
  <c r="H42" i="25"/>
  <c r="G42" i="25"/>
  <c r="F40" i="24"/>
  <c r="G40" i="24" s="1"/>
  <c r="G43" i="3"/>
  <c r="H43" i="3"/>
  <c r="D44" i="5"/>
  <c r="B44" i="5" s="1"/>
  <c r="H43" i="5"/>
  <c r="I43" i="5" s="1"/>
  <c r="E44" i="5"/>
  <c r="D44" i="3"/>
  <c r="E44" i="3" s="1"/>
  <c r="E34" i="42"/>
  <c r="F34" i="42" s="1"/>
  <c r="H34" i="42" s="1"/>
  <c r="B34" i="42"/>
  <c r="F34" i="41"/>
  <c r="G34" i="41" s="1"/>
  <c r="B34" i="41"/>
  <c r="B38" i="28"/>
  <c r="F38" i="28"/>
  <c r="H38" i="28" s="1"/>
  <c r="F35" i="39"/>
  <c r="H35" i="39" s="1"/>
  <c r="B35" i="39"/>
  <c r="H46" i="10"/>
  <c r="I46" i="10" s="1"/>
  <c r="D47" i="10"/>
  <c r="E47" i="10"/>
  <c r="F34" i="40"/>
  <c r="B34" i="40"/>
  <c r="B37" i="30"/>
  <c r="H46" i="7"/>
  <c r="I46" i="7" s="1"/>
  <c r="D47" i="7"/>
  <c r="E47" i="7"/>
  <c r="E35" i="38"/>
  <c r="F35" i="38" s="1"/>
  <c r="G35" i="38" s="1"/>
  <c r="B35" i="38"/>
  <c r="B34" i="43"/>
  <c r="F34" i="43"/>
  <c r="B33" i="46"/>
  <c r="F38" i="29"/>
  <c r="G38" i="29" s="1"/>
  <c r="B38" i="29"/>
  <c r="E35" i="37"/>
  <c r="F35" i="37" s="1"/>
  <c r="B35" i="37"/>
  <c r="F37" i="30"/>
  <c r="G37" i="30" s="1"/>
  <c r="H35" i="51" l="1"/>
  <c r="F46" i="11"/>
  <c r="G46" i="11" s="1"/>
  <c r="B46" i="11"/>
  <c r="G35" i="51"/>
  <c r="I35" i="51" s="1"/>
  <c r="E36" i="51"/>
  <c r="F36" i="51" s="1"/>
  <c r="B36" i="51"/>
  <c r="F39" i="27"/>
  <c r="E40" i="27" s="1"/>
  <c r="F33" i="52"/>
  <c r="D34" i="52" s="1"/>
  <c r="F44" i="22"/>
  <c r="I42" i="22"/>
  <c r="D37" i="45"/>
  <c r="B37" i="45" s="1"/>
  <c r="H36" i="45"/>
  <c r="I36" i="45" s="1"/>
  <c r="I30" i="52"/>
  <c r="D31" i="50"/>
  <c r="E31" i="50"/>
  <c r="H30" i="50"/>
  <c r="G30" i="50"/>
  <c r="E42" i="23"/>
  <c r="D42" i="23"/>
  <c r="B42" i="23" s="1"/>
  <c r="H41" i="23"/>
  <c r="I41" i="23" s="1"/>
  <c r="E37" i="45"/>
  <c r="H39" i="27"/>
  <c r="F37" i="44"/>
  <c r="D38" i="44" s="1"/>
  <c r="B38" i="44" s="1"/>
  <c r="H45" i="9"/>
  <c r="I45" i="9" s="1"/>
  <c r="E46" i="9"/>
  <c r="D46" i="9"/>
  <c r="G44" i="8"/>
  <c r="H44" i="8"/>
  <c r="D45" i="8"/>
  <c r="E45" i="8"/>
  <c r="E45" i="6"/>
  <c r="I32" i="46"/>
  <c r="H44" i="6"/>
  <c r="I44" i="6" s="1"/>
  <c r="D45" i="6"/>
  <c r="B45" i="6" s="1"/>
  <c r="I42" i="25"/>
  <c r="I43" i="3"/>
  <c r="F44" i="4"/>
  <c r="G44" i="4" s="1"/>
  <c r="H33" i="46"/>
  <c r="I33" i="46" s="1"/>
  <c r="F39" i="31"/>
  <c r="G39" i="31" s="1"/>
  <c r="B44" i="4"/>
  <c r="E41" i="24"/>
  <c r="D41" i="24"/>
  <c r="F43" i="25"/>
  <c r="B43" i="25"/>
  <c r="H40" i="24"/>
  <c r="I40" i="24" s="1"/>
  <c r="G35" i="39"/>
  <c r="I35" i="39" s="1"/>
  <c r="F44" i="5"/>
  <c r="E45" i="5" s="1"/>
  <c r="B44" i="3"/>
  <c r="F44" i="3"/>
  <c r="G44" i="3" s="1"/>
  <c r="D35" i="40"/>
  <c r="E35" i="40"/>
  <c r="D35" i="41"/>
  <c r="E35" i="41"/>
  <c r="H34" i="43"/>
  <c r="D35" i="43"/>
  <c r="E35" i="43"/>
  <c r="B47" i="10"/>
  <c r="G34" i="42"/>
  <c r="I34" i="42" s="1"/>
  <c r="D35" i="42"/>
  <c r="E35" i="42"/>
  <c r="H35" i="37"/>
  <c r="D36" i="37"/>
  <c r="D34" i="46"/>
  <c r="E34" i="46"/>
  <c r="B43" i="22"/>
  <c r="F47" i="7"/>
  <c r="H47" i="7" s="1"/>
  <c r="B47" i="7"/>
  <c r="H34" i="40"/>
  <c r="H46" i="11"/>
  <c r="I46" i="11" s="1"/>
  <c r="D47" i="11"/>
  <c r="E47" i="11"/>
  <c r="D36" i="39"/>
  <c r="E36" i="39"/>
  <c r="H37" i="30"/>
  <c r="I37" i="30" s="1"/>
  <c r="D38" i="30"/>
  <c r="E38" i="30"/>
  <c r="H35" i="38"/>
  <c r="I35" i="38" s="1"/>
  <c r="D36" i="38"/>
  <c r="G34" i="40"/>
  <c r="G35" i="37"/>
  <c r="H38" i="29"/>
  <c r="I38" i="29" s="1"/>
  <c r="D39" i="29"/>
  <c r="E39" i="29"/>
  <c r="G34" i="43"/>
  <c r="F47" i="10"/>
  <c r="H47" i="10" s="1"/>
  <c r="G38" i="28"/>
  <c r="I38" i="28" s="1"/>
  <c r="D39" i="28"/>
  <c r="E39" i="28"/>
  <c r="H34" i="41"/>
  <c r="I34" i="41" s="1"/>
  <c r="D40" i="27" l="1"/>
  <c r="G39" i="27"/>
  <c r="G33" i="52"/>
  <c r="H33" i="52"/>
  <c r="E34" i="52"/>
  <c r="F34" i="52" s="1"/>
  <c r="D35" i="52" s="1"/>
  <c r="D37" i="51"/>
  <c r="G36" i="51"/>
  <c r="H36" i="51"/>
  <c r="D45" i="22"/>
  <c r="E45" i="22"/>
  <c r="H44" i="22"/>
  <c r="G44" i="22"/>
  <c r="B32" i="52"/>
  <c r="F42" i="23"/>
  <c r="G42" i="23" s="1"/>
  <c r="I31" i="52"/>
  <c r="F37" i="45"/>
  <c r="D38" i="45" s="1"/>
  <c r="B38" i="45" s="1"/>
  <c r="B33" i="52"/>
  <c r="I30" i="50"/>
  <c r="I39" i="27"/>
  <c r="B31" i="50"/>
  <c r="F31" i="50"/>
  <c r="H31" i="50" s="1"/>
  <c r="E38" i="44"/>
  <c r="F38" i="44" s="1"/>
  <c r="E39" i="44" s="1"/>
  <c r="G37" i="44"/>
  <c r="H37" i="44"/>
  <c r="I44" i="8"/>
  <c r="F41" i="24"/>
  <c r="H41" i="24" s="1"/>
  <c r="B46" i="9"/>
  <c r="F46" i="9"/>
  <c r="G46" i="9" s="1"/>
  <c r="F45" i="8"/>
  <c r="B45" i="8"/>
  <c r="E45" i="4"/>
  <c r="F45" i="6"/>
  <c r="H45" i="6" s="1"/>
  <c r="H44" i="4"/>
  <c r="I44" i="4" s="1"/>
  <c r="D45" i="4"/>
  <c r="B45" i="4" s="1"/>
  <c r="D45" i="3"/>
  <c r="B45" i="3" s="1"/>
  <c r="B41" i="24"/>
  <c r="I34" i="43"/>
  <c r="H44" i="5"/>
  <c r="D45" i="5"/>
  <c r="F45" i="5" s="1"/>
  <c r="G44" i="5"/>
  <c r="H43" i="25"/>
  <c r="D44" i="25"/>
  <c r="E44" i="25"/>
  <c r="D40" i="31"/>
  <c r="E40" i="31"/>
  <c r="H39" i="31"/>
  <c r="I39" i="31" s="1"/>
  <c r="G43" i="25"/>
  <c r="H44" i="3"/>
  <c r="I44" i="3" s="1"/>
  <c r="F34" i="46"/>
  <c r="G34" i="46" s="1"/>
  <c r="B35" i="43"/>
  <c r="F35" i="43"/>
  <c r="B34" i="46"/>
  <c r="F39" i="29"/>
  <c r="G39" i="29" s="1"/>
  <c r="B36" i="39"/>
  <c r="F36" i="39"/>
  <c r="H36" i="39" s="1"/>
  <c r="E36" i="37"/>
  <c r="F36" i="37" s="1"/>
  <c r="B36" i="37"/>
  <c r="F35" i="40"/>
  <c r="G35" i="40" s="1"/>
  <c r="B35" i="40"/>
  <c r="F38" i="30"/>
  <c r="G38" i="30" s="1"/>
  <c r="B38" i="30"/>
  <c r="B47" i="11"/>
  <c r="F47" i="11"/>
  <c r="H47" i="11" s="1"/>
  <c r="G47" i="7"/>
  <c r="I47" i="7" s="1"/>
  <c r="D48" i="7"/>
  <c r="E48" i="7"/>
  <c r="B35" i="41"/>
  <c r="F35" i="41"/>
  <c r="H35" i="41" s="1"/>
  <c r="B39" i="28"/>
  <c r="F39" i="28"/>
  <c r="E36" i="38"/>
  <c r="F36" i="38" s="1"/>
  <c r="B36" i="38"/>
  <c r="F35" i="42"/>
  <c r="G35" i="42" s="1"/>
  <c r="B35" i="42"/>
  <c r="B39" i="29"/>
  <c r="I34" i="40"/>
  <c r="I43" i="22"/>
  <c r="I35" i="37"/>
  <c r="G47" i="10"/>
  <c r="I47" i="10" s="1"/>
  <c r="D48" i="10"/>
  <c r="E48" i="10"/>
  <c r="I36" i="51" l="1"/>
  <c r="E43" i="23"/>
  <c r="F40" i="27"/>
  <c r="B40" i="27"/>
  <c r="H34" i="52"/>
  <c r="G34" i="52"/>
  <c r="E35" i="52"/>
  <c r="F35" i="52" s="1"/>
  <c r="E37" i="51"/>
  <c r="F37" i="51" s="1"/>
  <c r="B37" i="51"/>
  <c r="F45" i="22"/>
  <c r="H45" i="22" s="1"/>
  <c r="E45" i="3"/>
  <c r="F45" i="3" s="1"/>
  <c r="G37" i="45"/>
  <c r="E38" i="45"/>
  <c r="F38" i="45" s="1"/>
  <c r="H38" i="45" s="1"/>
  <c r="D43" i="23"/>
  <c r="B43" i="23" s="1"/>
  <c r="H42" i="23"/>
  <c r="I42" i="23" s="1"/>
  <c r="H37" i="45"/>
  <c r="I37" i="44"/>
  <c r="I33" i="52"/>
  <c r="G31" i="50"/>
  <c r="I31" i="50" s="1"/>
  <c r="D32" i="50"/>
  <c r="I32" i="52"/>
  <c r="D42" i="24"/>
  <c r="B42" i="24" s="1"/>
  <c r="D39" i="44"/>
  <c r="F39" i="44" s="1"/>
  <c r="D40" i="44" s="1"/>
  <c r="E42" i="24"/>
  <c r="G41" i="24"/>
  <c r="I41" i="24" s="1"/>
  <c r="H46" i="9"/>
  <c r="I46" i="9" s="1"/>
  <c r="E46" i="6"/>
  <c r="F45" i="4"/>
  <c r="H45" i="4" s="1"/>
  <c r="H38" i="44"/>
  <c r="G45" i="6"/>
  <c r="I45" i="6" s="1"/>
  <c r="D46" i="6"/>
  <c r="G38" i="44"/>
  <c r="E47" i="9"/>
  <c r="D47" i="9"/>
  <c r="G45" i="8"/>
  <c r="D46" i="8"/>
  <c r="E46" i="8"/>
  <c r="H45" i="8"/>
  <c r="I44" i="5"/>
  <c r="I43" i="25"/>
  <c r="B45" i="5"/>
  <c r="E35" i="46"/>
  <c r="D46" i="5"/>
  <c r="B46" i="5" s="1"/>
  <c r="E46" i="5"/>
  <c r="G45" i="5"/>
  <c r="H45" i="5"/>
  <c r="F40" i="31"/>
  <c r="B40" i="31"/>
  <c r="F44" i="25"/>
  <c r="G44" i="25" s="1"/>
  <c r="B44" i="25"/>
  <c r="H34" i="46"/>
  <c r="I34" i="46" s="1"/>
  <c r="D35" i="46"/>
  <c r="B35" i="46" s="1"/>
  <c r="G36" i="38"/>
  <c r="D37" i="38"/>
  <c r="H36" i="38"/>
  <c r="H36" i="37"/>
  <c r="D37" i="37"/>
  <c r="G36" i="37"/>
  <c r="H35" i="42"/>
  <c r="I35" i="42" s="1"/>
  <c r="D36" i="42"/>
  <c r="F48" i="7"/>
  <c r="G48" i="7" s="1"/>
  <c r="B48" i="7"/>
  <c r="H35" i="40"/>
  <c r="I35" i="40" s="1"/>
  <c r="D36" i="40"/>
  <c r="G36" i="39"/>
  <c r="I36" i="39" s="1"/>
  <c r="D37" i="39"/>
  <c r="E37" i="39"/>
  <c r="B44" i="22"/>
  <c r="H35" i="43"/>
  <c r="D36" i="43"/>
  <c r="E36" i="43"/>
  <c r="B48" i="10"/>
  <c r="F48" i="10"/>
  <c r="G48" i="10" s="1"/>
  <c r="G47" i="11"/>
  <c r="I47" i="11" s="1"/>
  <c r="D48" i="11"/>
  <c r="E48" i="11"/>
  <c r="H39" i="29"/>
  <c r="I39" i="29" s="1"/>
  <c r="D40" i="29"/>
  <c r="E40" i="29"/>
  <c r="H39" i="28"/>
  <c r="D40" i="28"/>
  <c r="E40" i="28"/>
  <c r="G35" i="41"/>
  <c r="I35" i="41" s="1"/>
  <c r="D36" i="41"/>
  <c r="E36" i="41"/>
  <c r="H38" i="30"/>
  <c r="I38" i="30" s="1"/>
  <c r="D39" i="30"/>
  <c r="E39" i="30"/>
  <c r="G39" i="28"/>
  <c r="G35" i="43"/>
  <c r="D38" i="51" l="1"/>
  <c r="G37" i="51"/>
  <c r="H37" i="51"/>
  <c r="G38" i="45"/>
  <c r="I38" i="45" s="1"/>
  <c r="G40" i="27"/>
  <c r="E41" i="27"/>
  <c r="D41" i="27"/>
  <c r="H40" i="27"/>
  <c r="I40" i="27" s="1"/>
  <c r="D36" i="52"/>
  <c r="F36" i="52" s="1"/>
  <c r="E36" i="52"/>
  <c r="G35" i="52"/>
  <c r="H35" i="52"/>
  <c r="I37" i="51"/>
  <c r="E38" i="51"/>
  <c r="F38" i="51" s="1"/>
  <c r="D39" i="51" s="1"/>
  <c r="B38" i="51"/>
  <c r="I37" i="45"/>
  <c r="G45" i="22"/>
  <c r="D46" i="22"/>
  <c r="E46" i="22"/>
  <c r="D39" i="45"/>
  <c r="B39" i="45" s="1"/>
  <c r="H39" i="44"/>
  <c r="E40" i="44"/>
  <c r="F43" i="23"/>
  <c r="G43" i="23" s="1"/>
  <c r="B39" i="44"/>
  <c r="G39" i="44"/>
  <c r="F42" i="24"/>
  <c r="G42" i="24" s="1"/>
  <c r="E32" i="50"/>
  <c r="F32" i="50" s="1"/>
  <c r="B32" i="50"/>
  <c r="B34" i="52"/>
  <c r="I45" i="8"/>
  <c r="E46" i="4"/>
  <c r="D46" i="4"/>
  <c r="G45" i="4"/>
  <c r="I45" i="4" s="1"/>
  <c r="F46" i="6"/>
  <c r="G46" i="6" s="1"/>
  <c r="I38" i="44"/>
  <c r="B46" i="6"/>
  <c r="F46" i="8"/>
  <c r="H46" i="8" s="1"/>
  <c r="B46" i="8"/>
  <c r="F47" i="9"/>
  <c r="G47" i="9" s="1"/>
  <c r="B47" i="9"/>
  <c r="I45" i="5"/>
  <c r="H45" i="3"/>
  <c r="D46" i="3"/>
  <c r="E46" i="3" s="1"/>
  <c r="G45" i="3"/>
  <c r="F46" i="5"/>
  <c r="D47" i="5" s="1"/>
  <c r="B47" i="5" s="1"/>
  <c r="F40" i="44"/>
  <c r="G40" i="44" s="1"/>
  <c r="H44" i="25"/>
  <c r="I44" i="25" s="1"/>
  <c r="H40" i="31"/>
  <c r="G40" i="31"/>
  <c r="E41" i="31"/>
  <c r="D41" i="31"/>
  <c r="B40" i="44"/>
  <c r="E45" i="25"/>
  <c r="D45" i="25"/>
  <c r="I35" i="43"/>
  <c r="F35" i="46"/>
  <c r="E36" i="46" s="1"/>
  <c r="F48" i="11"/>
  <c r="E49" i="11" s="1"/>
  <c r="I36" i="38"/>
  <c r="F39" i="30"/>
  <c r="H39" i="30" s="1"/>
  <c r="B48" i="11"/>
  <c r="I36" i="37"/>
  <c r="F36" i="41"/>
  <c r="B36" i="41"/>
  <c r="F37" i="39"/>
  <c r="G37" i="39" s="1"/>
  <c r="B37" i="39"/>
  <c r="H48" i="7"/>
  <c r="I48" i="7" s="1"/>
  <c r="D49" i="7"/>
  <c r="E49" i="7"/>
  <c r="E37" i="37"/>
  <c r="F37" i="37" s="1"/>
  <c r="G37" i="37" s="1"/>
  <c r="B37" i="37"/>
  <c r="B39" i="30"/>
  <c r="H48" i="10"/>
  <c r="I48" i="10" s="1"/>
  <c r="D49" i="10"/>
  <c r="E49" i="10"/>
  <c r="F36" i="43"/>
  <c r="H36" i="43" s="1"/>
  <c r="B36" i="43"/>
  <c r="E36" i="40"/>
  <c r="F36" i="40" s="1"/>
  <c r="H36" i="40" s="1"/>
  <c r="B36" i="40"/>
  <c r="B40" i="29"/>
  <c r="F40" i="29"/>
  <c r="G40" i="29" s="1"/>
  <c r="I39" i="28"/>
  <c r="E37" i="38"/>
  <c r="F37" i="38" s="1"/>
  <c r="B37" i="38"/>
  <c r="E36" i="42"/>
  <c r="F36" i="42" s="1"/>
  <c r="H36" i="42" s="1"/>
  <c r="B36" i="42"/>
  <c r="F40" i="28"/>
  <c r="H40" i="28" s="1"/>
  <c r="B40" i="28"/>
  <c r="E39" i="45"/>
  <c r="G36" i="52" l="1"/>
  <c r="D37" i="52"/>
  <c r="F41" i="27"/>
  <c r="B41" i="27"/>
  <c r="G41" i="27"/>
  <c r="H36" i="52"/>
  <c r="H38" i="51"/>
  <c r="E39" i="51"/>
  <c r="F39" i="51" s="1"/>
  <c r="B39" i="51"/>
  <c r="E37" i="52"/>
  <c r="F37" i="52" s="1"/>
  <c r="G38" i="51"/>
  <c r="D44" i="23"/>
  <c r="B44" i="23" s="1"/>
  <c r="F39" i="45"/>
  <c r="I39" i="44"/>
  <c r="F46" i="22"/>
  <c r="G46" i="22" s="1"/>
  <c r="E44" i="23"/>
  <c r="H43" i="23"/>
  <c r="I43" i="23" s="1"/>
  <c r="H46" i="6"/>
  <c r="I46" i="6" s="1"/>
  <c r="F46" i="4"/>
  <c r="G46" i="4" s="1"/>
  <c r="E43" i="24"/>
  <c r="D43" i="24"/>
  <c r="H42" i="24"/>
  <c r="I42" i="24" s="1"/>
  <c r="B46" i="4"/>
  <c r="D33" i="50"/>
  <c r="G32" i="50"/>
  <c r="H32" i="50"/>
  <c r="I34" i="52"/>
  <c r="D47" i="6"/>
  <c r="B47" i="6" s="1"/>
  <c r="E47" i="6"/>
  <c r="H47" i="9"/>
  <c r="I47" i="9" s="1"/>
  <c r="D48" i="9"/>
  <c r="E48" i="9"/>
  <c r="G46" i="8"/>
  <c r="I46" i="8" s="1"/>
  <c r="D47" i="8"/>
  <c r="E47" i="8"/>
  <c r="H46" i="5"/>
  <c r="E47" i="5"/>
  <c r="F47" i="5" s="1"/>
  <c r="E48" i="5" s="1"/>
  <c r="H40" i="44"/>
  <c r="I40" i="44" s="1"/>
  <c r="D36" i="46"/>
  <c r="F36" i="46" s="1"/>
  <c r="I40" i="31"/>
  <c r="B46" i="3"/>
  <c r="F46" i="3"/>
  <c r="I45" i="3"/>
  <c r="D41" i="44"/>
  <c r="B41" i="44" s="1"/>
  <c r="G46" i="5"/>
  <c r="H35" i="46"/>
  <c r="G35" i="46"/>
  <c r="B41" i="31"/>
  <c r="F41" i="31"/>
  <c r="F45" i="25"/>
  <c r="G45" i="25" s="1"/>
  <c r="B45" i="25"/>
  <c r="G39" i="30"/>
  <c r="I39" i="30" s="1"/>
  <c r="D49" i="11"/>
  <c r="F49" i="11" s="1"/>
  <c r="G49" i="11" s="1"/>
  <c r="H48" i="11"/>
  <c r="E40" i="30"/>
  <c r="F49" i="7"/>
  <c r="G49" i="7" s="1"/>
  <c r="D40" i="30"/>
  <c r="B40" i="30" s="1"/>
  <c r="G48" i="11"/>
  <c r="G39" i="45"/>
  <c r="H39" i="45"/>
  <c r="H37" i="38"/>
  <c r="D38" i="38"/>
  <c r="E38" i="38"/>
  <c r="G37" i="38"/>
  <c r="F49" i="10"/>
  <c r="H49" i="10" s="1"/>
  <c r="B49" i="10"/>
  <c r="G36" i="42"/>
  <c r="I36" i="42" s="1"/>
  <c r="D37" i="42"/>
  <c r="E37" i="42"/>
  <c r="H40" i="29"/>
  <c r="I40" i="29" s="1"/>
  <c r="D41" i="29"/>
  <c r="E41" i="29"/>
  <c r="G36" i="40"/>
  <c r="I36" i="40" s="1"/>
  <c r="D37" i="40"/>
  <c r="E37" i="40"/>
  <c r="B49" i="7"/>
  <c r="G36" i="41"/>
  <c r="D37" i="41"/>
  <c r="E37" i="41"/>
  <c r="H37" i="37"/>
  <c r="I37" i="37" s="1"/>
  <c r="D38" i="37"/>
  <c r="B45" i="22"/>
  <c r="E41" i="44"/>
  <c r="I44" i="22"/>
  <c r="D40" i="45"/>
  <c r="E40" i="45"/>
  <c r="H37" i="39"/>
  <c r="I37" i="39" s="1"/>
  <c r="D38" i="39"/>
  <c r="E38" i="39"/>
  <c r="H36" i="41"/>
  <c r="G40" i="28"/>
  <c r="I40" i="28" s="1"/>
  <c r="D41" i="28"/>
  <c r="E41" i="28"/>
  <c r="G36" i="43"/>
  <c r="I36" i="43" s="1"/>
  <c r="D37" i="43"/>
  <c r="E37" i="43"/>
  <c r="D40" i="51" l="1"/>
  <c r="H39" i="51"/>
  <c r="H41" i="27"/>
  <c r="I41" i="27" s="1"/>
  <c r="D42" i="27"/>
  <c r="E42" i="27"/>
  <c r="G39" i="51"/>
  <c r="I39" i="51" s="1"/>
  <c r="H37" i="52"/>
  <c r="G37" i="52"/>
  <c r="D38" i="52"/>
  <c r="E38" i="52"/>
  <c r="E40" i="51"/>
  <c r="F40" i="51" s="1"/>
  <c r="D41" i="51" s="1"/>
  <c r="B40" i="51"/>
  <c r="I38" i="51"/>
  <c r="H46" i="22"/>
  <c r="F44" i="23"/>
  <c r="H44" i="23" s="1"/>
  <c r="F43" i="24"/>
  <c r="G43" i="24" s="1"/>
  <c r="D47" i="22"/>
  <c r="E47" i="22"/>
  <c r="E47" i="4"/>
  <c r="H46" i="4"/>
  <c r="I46" i="4" s="1"/>
  <c r="D47" i="4"/>
  <c r="B47" i="4" s="1"/>
  <c r="B43" i="24"/>
  <c r="F47" i="6"/>
  <c r="G47" i="6" s="1"/>
  <c r="B35" i="52"/>
  <c r="I32" i="50"/>
  <c r="E33" i="50"/>
  <c r="F33" i="50" s="1"/>
  <c r="B33" i="50"/>
  <c r="B36" i="46"/>
  <c r="I46" i="5"/>
  <c r="D48" i="5"/>
  <c r="B48" i="5" s="1"/>
  <c r="I35" i="46"/>
  <c r="H47" i="5"/>
  <c r="G47" i="5"/>
  <c r="B47" i="8"/>
  <c r="F47" i="8"/>
  <c r="B48" i="9"/>
  <c r="F48" i="9"/>
  <c r="G48" i="9" s="1"/>
  <c r="G46" i="3"/>
  <c r="H46" i="3"/>
  <c r="D47" i="3"/>
  <c r="E47" i="3" s="1"/>
  <c r="F41" i="44"/>
  <c r="H41" i="44" s="1"/>
  <c r="B49" i="11"/>
  <c r="I39" i="45"/>
  <c r="I48" i="11"/>
  <c r="G41" i="31"/>
  <c r="E42" i="31"/>
  <c r="H41" i="31"/>
  <c r="D42" i="31"/>
  <c r="H45" i="25"/>
  <c r="I45" i="25" s="1"/>
  <c r="D46" i="25"/>
  <c r="E46" i="25"/>
  <c r="E50" i="7"/>
  <c r="D50" i="7"/>
  <c r="F40" i="30"/>
  <c r="G40" i="30" s="1"/>
  <c r="H49" i="7"/>
  <c r="I49" i="7" s="1"/>
  <c r="E45" i="23"/>
  <c r="I37" i="38"/>
  <c r="B41" i="29"/>
  <c r="F41" i="29"/>
  <c r="G41" i="29" s="1"/>
  <c r="D37" i="46"/>
  <c r="E37" i="46"/>
  <c r="B41" i="28"/>
  <c r="F41" i="28"/>
  <c r="G41" i="28" s="1"/>
  <c r="F40" i="45"/>
  <c r="H40" i="45" s="1"/>
  <c r="F37" i="41"/>
  <c r="G37" i="41" s="1"/>
  <c r="B37" i="41"/>
  <c r="H49" i="11"/>
  <c r="I49" i="11" s="1"/>
  <c r="D50" i="11"/>
  <c r="E50" i="11"/>
  <c r="I45" i="22"/>
  <c r="B37" i="43"/>
  <c r="F37" i="43"/>
  <c r="H37" i="43" s="1"/>
  <c r="B40" i="45"/>
  <c r="E38" i="37"/>
  <c r="F38" i="37" s="1"/>
  <c r="H38" i="37" s="1"/>
  <c r="B38" i="37"/>
  <c r="H36" i="46"/>
  <c r="F38" i="38"/>
  <c r="G38" i="38" s="1"/>
  <c r="B38" i="38"/>
  <c r="I36" i="41"/>
  <c r="B37" i="40"/>
  <c r="F37" i="40"/>
  <c r="G37" i="40" s="1"/>
  <c r="G49" i="10"/>
  <c r="I49" i="10" s="1"/>
  <c r="D50" i="10"/>
  <c r="E50" i="10"/>
  <c r="G36" i="46"/>
  <c r="B38" i="39"/>
  <c r="F38" i="39"/>
  <c r="G38" i="39" s="1"/>
  <c r="B37" i="42"/>
  <c r="F37" i="42"/>
  <c r="G37" i="42" s="1"/>
  <c r="D45" i="23" l="1"/>
  <c r="G44" i="23"/>
  <c r="F38" i="52"/>
  <c r="H38" i="52" s="1"/>
  <c r="B42" i="27"/>
  <c r="F42" i="27"/>
  <c r="G42" i="27" s="1"/>
  <c r="G40" i="51"/>
  <c r="E41" i="51"/>
  <c r="F41" i="51" s="1"/>
  <c r="D42" i="51" s="1"/>
  <c r="B41" i="51"/>
  <c r="E44" i="24"/>
  <c r="H40" i="51"/>
  <c r="D44" i="24"/>
  <c r="F44" i="24" s="1"/>
  <c r="H43" i="24"/>
  <c r="I43" i="24" s="1"/>
  <c r="H47" i="6"/>
  <c r="I47" i="6" s="1"/>
  <c r="D48" i="6"/>
  <c r="B48" i="6" s="1"/>
  <c r="E48" i="6"/>
  <c r="F47" i="22"/>
  <c r="G47" i="22" s="1"/>
  <c r="F47" i="4"/>
  <c r="G38" i="52"/>
  <c r="D39" i="52"/>
  <c r="D34" i="50"/>
  <c r="E34" i="50"/>
  <c r="G33" i="50"/>
  <c r="H33" i="50"/>
  <c r="F48" i="5"/>
  <c r="H48" i="5" s="1"/>
  <c r="H48" i="9"/>
  <c r="I48" i="9" s="1"/>
  <c r="D49" i="9"/>
  <c r="E49" i="9"/>
  <c r="H47" i="8"/>
  <c r="G47" i="8"/>
  <c r="D48" i="8"/>
  <c r="E48" i="8"/>
  <c r="I47" i="5"/>
  <c r="E42" i="44"/>
  <c r="I46" i="3"/>
  <c r="D42" i="44"/>
  <c r="B42" i="44" s="1"/>
  <c r="G41" i="44"/>
  <c r="I41" i="44" s="1"/>
  <c r="E41" i="30"/>
  <c r="D41" i="30"/>
  <c r="B41" i="30" s="1"/>
  <c r="H40" i="30"/>
  <c r="I40" i="30" s="1"/>
  <c r="B47" i="3"/>
  <c r="F47" i="3"/>
  <c r="I41" i="31"/>
  <c r="B46" i="25"/>
  <c r="F46" i="25"/>
  <c r="H46" i="25" s="1"/>
  <c r="B42" i="31"/>
  <c r="F42" i="31"/>
  <c r="F50" i="7"/>
  <c r="B50" i="7"/>
  <c r="F45" i="23"/>
  <c r="B45" i="23"/>
  <c r="I44" i="23"/>
  <c r="D39" i="37"/>
  <c r="E39" i="37"/>
  <c r="D41" i="45"/>
  <c r="E41" i="45"/>
  <c r="H37" i="40"/>
  <c r="I37" i="40" s="1"/>
  <c r="D38" i="40"/>
  <c r="E38" i="40"/>
  <c r="G40" i="45"/>
  <c r="I40" i="45" s="1"/>
  <c r="H41" i="28"/>
  <c r="I41" i="28" s="1"/>
  <c r="D42" i="28"/>
  <c r="E42" i="28"/>
  <c r="H38" i="39"/>
  <c r="I38" i="39" s="1"/>
  <c r="D39" i="39"/>
  <c r="E39" i="39"/>
  <c r="H38" i="38"/>
  <c r="I38" i="38" s="1"/>
  <c r="D39" i="38"/>
  <c r="E39" i="38"/>
  <c r="H37" i="41"/>
  <c r="I37" i="41" s="1"/>
  <c r="D38" i="41"/>
  <c r="H37" i="42"/>
  <c r="I37" i="42" s="1"/>
  <c r="D38" i="42"/>
  <c r="E38" i="42"/>
  <c r="B46" i="22"/>
  <c r="B37" i="46"/>
  <c r="F37" i="46"/>
  <c r="B50" i="11"/>
  <c r="F50" i="11"/>
  <c r="G50" i="11" s="1"/>
  <c r="H41" i="29"/>
  <c r="I41" i="29" s="1"/>
  <c r="D42" i="29"/>
  <c r="E42" i="29"/>
  <c r="I36" i="46"/>
  <c r="G37" i="43"/>
  <c r="I37" i="43" s="1"/>
  <c r="D38" i="43"/>
  <c r="E38" i="43"/>
  <c r="B50" i="10"/>
  <c r="F50" i="10"/>
  <c r="G50" i="10" s="1"/>
  <c r="G38" i="37"/>
  <c r="I38" i="37" s="1"/>
  <c r="B44" i="24" l="1"/>
  <c r="G41" i="51"/>
  <c r="I40" i="51"/>
  <c r="H42" i="27"/>
  <c r="I42" i="27" s="1"/>
  <c r="D43" i="27"/>
  <c r="E43" i="27"/>
  <c r="H41" i="51"/>
  <c r="I41" i="51" s="1"/>
  <c r="E42" i="51"/>
  <c r="F42" i="51" s="1"/>
  <c r="B42" i="51"/>
  <c r="F48" i="6"/>
  <c r="E49" i="6" s="1"/>
  <c r="H47" i="22"/>
  <c r="H47" i="4"/>
  <c r="G47" i="4"/>
  <c r="D48" i="4"/>
  <c r="E48" i="4"/>
  <c r="E39" i="52"/>
  <c r="F39" i="52" s="1"/>
  <c r="G39" i="52" s="1"/>
  <c r="I35" i="52"/>
  <c r="B36" i="52"/>
  <c r="I33" i="50"/>
  <c r="D49" i="5"/>
  <c r="B49" i="5" s="1"/>
  <c r="F34" i="50"/>
  <c r="D35" i="50" s="1"/>
  <c r="B34" i="50"/>
  <c r="E49" i="5"/>
  <c r="G48" i="5"/>
  <c r="I48" i="5" s="1"/>
  <c r="I73" i="5" s="1"/>
  <c r="I47" i="8"/>
  <c r="F48" i="8"/>
  <c r="B48" i="8"/>
  <c r="B49" i="9"/>
  <c r="F49" i="9"/>
  <c r="H49" i="9" s="1"/>
  <c r="F42" i="44"/>
  <c r="G42" i="44" s="1"/>
  <c r="F41" i="30"/>
  <c r="H41" i="30" s="1"/>
  <c r="G47" i="3"/>
  <c r="D48" i="3"/>
  <c r="E48" i="3" s="1"/>
  <c r="H47" i="3"/>
  <c r="H48" i="6"/>
  <c r="F42" i="28"/>
  <c r="H42" i="28" s="1"/>
  <c r="G46" i="25"/>
  <c r="I46" i="25" s="1"/>
  <c r="D47" i="25"/>
  <c r="E47" i="25"/>
  <c r="G48" i="6"/>
  <c r="H42" i="31"/>
  <c r="E43" i="31"/>
  <c r="D43" i="31"/>
  <c r="G42" i="31"/>
  <c r="F42" i="29"/>
  <c r="G42" i="29" s="1"/>
  <c r="D51" i="7"/>
  <c r="E51" i="7"/>
  <c r="H50" i="7"/>
  <c r="G50" i="7"/>
  <c r="G45" i="23"/>
  <c r="H45" i="23"/>
  <c r="D46" i="23"/>
  <c r="E46" i="23"/>
  <c r="B39" i="38"/>
  <c r="F39" i="38"/>
  <c r="H39" i="38" s="1"/>
  <c r="B38" i="40"/>
  <c r="F38" i="40"/>
  <c r="H38" i="40" s="1"/>
  <c r="I46" i="22"/>
  <c r="H44" i="24"/>
  <c r="D45" i="24"/>
  <c r="E45" i="24"/>
  <c r="H50" i="10"/>
  <c r="I50" i="10" s="1"/>
  <c r="D51" i="10"/>
  <c r="E51" i="10"/>
  <c r="F41" i="45"/>
  <c r="G41" i="45" s="1"/>
  <c r="B39" i="37"/>
  <c r="F39" i="37"/>
  <c r="G39" i="37" s="1"/>
  <c r="B41" i="45"/>
  <c r="B42" i="29"/>
  <c r="B38" i="42"/>
  <c r="F38" i="42"/>
  <c r="H38" i="42" s="1"/>
  <c r="B42" i="28"/>
  <c r="F38" i="43"/>
  <c r="G38" i="43" s="1"/>
  <c r="B38" i="43"/>
  <c r="H50" i="11"/>
  <c r="I50" i="11" s="1"/>
  <c r="D51" i="11"/>
  <c r="E51" i="11"/>
  <c r="G37" i="46"/>
  <c r="D38" i="46"/>
  <c r="E38" i="46"/>
  <c r="B39" i="39"/>
  <c r="F39" i="39"/>
  <c r="H39" i="39" s="1"/>
  <c r="E38" i="41"/>
  <c r="F38" i="41" s="1"/>
  <c r="B38" i="41"/>
  <c r="H37" i="46"/>
  <c r="G44" i="24"/>
  <c r="F43" i="27" l="1"/>
  <c r="D43" i="51"/>
  <c r="G42" i="51"/>
  <c r="H42" i="51"/>
  <c r="I42" i="51" s="1"/>
  <c r="H43" i="27"/>
  <c r="E44" i="27"/>
  <c r="D44" i="27"/>
  <c r="B43" i="27"/>
  <c r="G43" i="27"/>
  <c r="D49" i="6"/>
  <c r="E43" i="51"/>
  <c r="B43" i="51"/>
  <c r="F43" i="51"/>
  <c r="D44" i="51" s="1"/>
  <c r="I47" i="4"/>
  <c r="F48" i="4"/>
  <c r="H48" i="4" s="1"/>
  <c r="B48" i="4"/>
  <c r="H39" i="52"/>
  <c r="D40" i="52"/>
  <c r="H34" i="50"/>
  <c r="G34" i="50"/>
  <c r="E35" i="50"/>
  <c r="F35" i="50" s="1"/>
  <c r="H35" i="50" s="1"/>
  <c r="B35" i="50"/>
  <c r="F49" i="5"/>
  <c r="H49" i="5" s="1"/>
  <c r="B37" i="52"/>
  <c r="E43" i="28"/>
  <c r="D43" i="28"/>
  <c r="B43" i="28" s="1"/>
  <c r="I47" i="3"/>
  <c r="E42" i="30"/>
  <c r="E43" i="44"/>
  <c r="D43" i="44"/>
  <c r="H42" i="44"/>
  <c r="I42" i="44" s="1"/>
  <c r="G41" i="30"/>
  <c r="I41" i="30" s="1"/>
  <c r="G49" i="9"/>
  <c r="I49" i="9" s="1"/>
  <c r="D50" i="9"/>
  <c r="E50" i="9"/>
  <c r="D42" i="30"/>
  <c r="B42" i="30" s="1"/>
  <c r="H48" i="8"/>
  <c r="D49" i="8"/>
  <c r="E49" i="8"/>
  <c r="G48" i="8"/>
  <c r="G42" i="28"/>
  <c r="I42" i="28" s="1"/>
  <c r="F48" i="3"/>
  <c r="B48" i="3"/>
  <c r="G39" i="39"/>
  <c r="I39" i="39" s="1"/>
  <c r="I42" i="31"/>
  <c r="I48" i="6"/>
  <c r="F47" i="25"/>
  <c r="G47" i="25" s="1"/>
  <c r="B47" i="25"/>
  <c r="E43" i="29"/>
  <c r="B43" i="31"/>
  <c r="F43" i="31"/>
  <c r="D43" i="29"/>
  <c r="H42" i="29"/>
  <c r="I42" i="29" s="1"/>
  <c r="F49" i="6"/>
  <c r="G49" i="6" s="1"/>
  <c r="B49" i="6"/>
  <c r="I50" i="7"/>
  <c r="I45" i="23"/>
  <c r="E48" i="22"/>
  <c r="F51" i="7"/>
  <c r="G51" i="7" s="1"/>
  <c r="B51" i="7"/>
  <c r="F46" i="23"/>
  <c r="B46" i="23"/>
  <c r="I37" i="46"/>
  <c r="H41" i="45"/>
  <c r="I41" i="45" s="1"/>
  <c r="I44" i="24"/>
  <c r="H38" i="41"/>
  <c r="D39" i="41"/>
  <c r="E39" i="41"/>
  <c r="D42" i="45"/>
  <c r="E42" i="45"/>
  <c r="G38" i="40"/>
  <c r="I38" i="40" s="1"/>
  <c r="D39" i="40"/>
  <c r="E39" i="40"/>
  <c r="H39" i="37"/>
  <c r="I39" i="37" s="1"/>
  <c r="D40" i="37"/>
  <c r="E40" i="37"/>
  <c r="B47" i="22"/>
  <c r="B38" i="46"/>
  <c r="F38" i="46"/>
  <c r="H38" i="46" s="1"/>
  <c r="F51" i="11"/>
  <c r="H51" i="11" s="1"/>
  <c r="D40" i="39"/>
  <c r="E40" i="39"/>
  <c r="H38" i="43"/>
  <c r="I38" i="43" s="1"/>
  <c r="D39" i="43"/>
  <c r="G38" i="42"/>
  <c r="I38" i="42" s="1"/>
  <c r="D39" i="42"/>
  <c r="B51" i="11"/>
  <c r="B51" i="10"/>
  <c r="F51" i="10"/>
  <c r="G39" i="38"/>
  <c r="I39" i="38" s="1"/>
  <c r="D40" i="38"/>
  <c r="E40" i="38"/>
  <c r="B45" i="24"/>
  <c r="F45" i="24"/>
  <c r="H45" i="24" s="1"/>
  <c r="G38" i="41"/>
  <c r="I43" i="27" l="1"/>
  <c r="H43" i="51"/>
  <c r="B44" i="27"/>
  <c r="F44" i="27"/>
  <c r="G43" i="51"/>
  <c r="I43" i="51" s="1"/>
  <c r="E44" i="51"/>
  <c r="F44" i="51" s="1"/>
  <c r="B44" i="51"/>
  <c r="G48" i="4"/>
  <c r="I48" i="4" s="1"/>
  <c r="E49" i="4"/>
  <c r="D49" i="4"/>
  <c r="E40" i="52"/>
  <c r="F40" i="52" s="1"/>
  <c r="I34" i="50"/>
  <c r="F43" i="28"/>
  <c r="D44" i="28" s="1"/>
  <c r="B44" i="28" s="1"/>
  <c r="I36" i="52"/>
  <c r="G35" i="50"/>
  <c r="I35" i="50" s="1"/>
  <c r="D36" i="50"/>
  <c r="E36" i="50"/>
  <c r="G49" i="5"/>
  <c r="D50" i="5"/>
  <c r="E50" i="5"/>
  <c r="F43" i="44"/>
  <c r="G43" i="44" s="1"/>
  <c r="I48" i="8"/>
  <c r="B43" i="44"/>
  <c r="F42" i="30"/>
  <c r="H42" i="30" s="1"/>
  <c r="F43" i="29"/>
  <c r="G43" i="29" s="1"/>
  <c r="F49" i="8"/>
  <c r="G49" i="8" s="1"/>
  <c r="B49" i="8"/>
  <c r="B50" i="9"/>
  <c r="F50" i="9"/>
  <c r="H50" i="9" s="1"/>
  <c r="B43" i="29"/>
  <c r="I38" i="41"/>
  <c r="G42" i="30"/>
  <c r="I42" i="30" s="1"/>
  <c r="G48" i="3"/>
  <c r="H48" i="3"/>
  <c r="D49" i="3"/>
  <c r="E49" i="3" s="1"/>
  <c r="G43" i="31"/>
  <c r="D44" i="31"/>
  <c r="E44" i="31"/>
  <c r="H43" i="31"/>
  <c r="E50" i="6"/>
  <c r="D50" i="6"/>
  <c r="D48" i="22"/>
  <c r="F48" i="22" s="1"/>
  <c r="G48" i="22" s="1"/>
  <c r="H49" i="6"/>
  <c r="I49" i="6" s="1"/>
  <c r="H47" i="25"/>
  <c r="I47" i="25" s="1"/>
  <c r="D48" i="25"/>
  <c r="E48" i="25"/>
  <c r="E52" i="7"/>
  <c r="H51" i="7"/>
  <c r="I51" i="7" s="1"/>
  <c r="D52" i="7"/>
  <c r="E47" i="23"/>
  <c r="G46" i="23"/>
  <c r="D47" i="23"/>
  <c r="G38" i="46"/>
  <c r="I38" i="46" s="1"/>
  <c r="H46" i="23"/>
  <c r="E39" i="42"/>
  <c r="F39" i="42" s="1"/>
  <c r="D40" i="42" s="1"/>
  <c r="B39" i="42"/>
  <c r="B39" i="40"/>
  <c r="F39" i="40"/>
  <c r="E39" i="43"/>
  <c r="F39" i="43" s="1"/>
  <c r="B39" i="43"/>
  <c r="D39" i="46"/>
  <c r="E39" i="46"/>
  <c r="G45" i="24"/>
  <c r="I45" i="24" s="1"/>
  <c r="D46" i="24"/>
  <c r="E46" i="24"/>
  <c r="H51" i="10"/>
  <c r="D52" i="10"/>
  <c r="E52" i="10"/>
  <c r="B39" i="41"/>
  <c r="F39" i="41"/>
  <c r="H39" i="41" s="1"/>
  <c r="B42" i="45"/>
  <c r="B40" i="38"/>
  <c r="F40" i="38"/>
  <c r="B40" i="39"/>
  <c r="F40" i="39"/>
  <c r="H40" i="39" s="1"/>
  <c r="G51" i="11"/>
  <c r="I51" i="11" s="1"/>
  <c r="D52" i="11"/>
  <c r="E52" i="11"/>
  <c r="G51" i="10"/>
  <c r="F40" i="37"/>
  <c r="D41" i="37" s="1"/>
  <c r="B40" i="37"/>
  <c r="F42" i="45"/>
  <c r="D43" i="45" s="1"/>
  <c r="H44" i="27" l="1"/>
  <c r="G44" i="27"/>
  <c r="I44" i="27" s="1"/>
  <c r="E45" i="27"/>
  <c r="D45" i="27"/>
  <c r="D45" i="51"/>
  <c r="G44" i="51"/>
  <c r="H44" i="51"/>
  <c r="G43" i="28"/>
  <c r="E44" i="28"/>
  <c r="F44" i="28" s="1"/>
  <c r="H44" i="28" s="1"/>
  <c r="G40" i="52"/>
  <c r="H40" i="52"/>
  <c r="F49" i="4"/>
  <c r="H49" i="4" s="1"/>
  <c r="B49" i="4"/>
  <c r="D41" i="52"/>
  <c r="E41" i="52"/>
  <c r="F36" i="50"/>
  <c r="D37" i="50" s="1"/>
  <c r="B37" i="50" s="1"/>
  <c r="E44" i="44"/>
  <c r="H43" i="28"/>
  <c r="I47" i="22"/>
  <c r="H43" i="44"/>
  <c r="I43" i="44" s="1"/>
  <c r="B36" i="50"/>
  <c r="B50" i="5"/>
  <c r="F50" i="5"/>
  <c r="G50" i="5" s="1"/>
  <c r="I37" i="52"/>
  <c r="B38" i="52"/>
  <c r="B48" i="22"/>
  <c r="D44" i="44"/>
  <c r="H49" i="8"/>
  <c r="I49" i="8" s="1"/>
  <c r="D43" i="30"/>
  <c r="B43" i="30" s="1"/>
  <c r="E43" i="30"/>
  <c r="I43" i="31"/>
  <c r="E44" i="29"/>
  <c r="H43" i="29"/>
  <c r="I43" i="29" s="1"/>
  <c r="D44" i="29"/>
  <c r="B44" i="29" s="1"/>
  <c r="I48" i="3"/>
  <c r="G50" i="9"/>
  <c r="I50" i="9" s="1"/>
  <c r="D51" i="9"/>
  <c r="E51" i="9"/>
  <c r="E50" i="8"/>
  <c r="D50" i="8"/>
  <c r="F49" i="3"/>
  <c r="B49" i="3"/>
  <c r="I46" i="23"/>
  <c r="F46" i="24"/>
  <c r="G46" i="24" s="1"/>
  <c r="F48" i="25"/>
  <c r="H48" i="25" s="1"/>
  <c r="B48" i="25"/>
  <c r="B44" i="31"/>
  <c r="F44" i="31"/>
  <c r="F50" i="6"/>
  <c r="G50" i="6" s="1"/>
  <c r="B50" i="6"/>
  <c r="F52" i="7"/>
  <c r="B52" i="7"/>
  <c r="B47" i="23"/>
  <c r="F47" i="23"/>
  <c r="F52" i="10"/>
  <c r="E53" i="10" s="1"/>
  <c r="G40" i="37"/>
  <c r="I51" i="10"/>
  <c r="H42" i="45"/>
  <c r="G39" i="43"/>
  <c r="D40" i="43"/>
  <c r="E40" i="43"/>
  <c r="H39" i="43"/>
  <c r="G39" i="40"/>
  <c r="D40" i="40"/>
  <c r="G40" i="39"/>
  <c r="I40" i="39" s="1"/>
  <c r="D41" i="39"/>
  <c r="E41" i="39"/>
  <c r="B52" i="11"/>
  <c r="F52" i="11"/>
  <c r="G52" i="11" s="1"/>
  <c r="E43" i="45"/>
  <c r="F43" i="45" s="1"/>
  <c r="B43" i="45"/>
  <c r="G42" i="45"/>
  <c r="E41" i="37"/>
  <c r="F41" i="37" s="1"/>
  <c r="G41" i="37" s="1"/>
  <c r="B41" i="37"/>
  <c r="G39" i="41"/>
  <c r="I39" i="41" s="1"/>
  <c r="D40" i="41"/>
  <c r="B46" i="24"/>
  <c r="G44" i="28"/>
  <c r="I44" i="28" s="1"/>
  <c r="D45" i="28"/>
  <c r="E45" i="28"/>
  <c r="H39" i="42"/>
  <c r="H40" i="38"/>
  <c r="D41" i="38"/>
  <c r="E41" i="38"/>
  <c r="E40" i="42"/>
  <c r="F40" i="42" s="1"/>
  <c r="B40" i="42"/>
  <c r="H48" i="22"/>
  <c r="I48" i="22" s="1"/>
  <c r="D49" i="22"/>
  <c r="E49" i="22"/>
  <c r="B39" i="46"/>
  <c r="F39" i="46"/>
  <c r="H39" i="46" s="1"/>
  <c r="H40" i="37"/>
  <c r="G40" i="38"/>
  <c r="B52" i="10"/>
  <c r="H39" i="40"/>
  <c r="G39" i="42"/>
  <c r="I44" i="51" l="1"/>
  <c r="B45" i="27"/>
  <c r="F45" i="27"/>
  <c r="E45" i="51"/>
  <c r="B45" i="51"/>
  <c r="F45" i="51"/>
  <c r="D46" i="51" s="1"/>
  <c r="G45" i="51"/>
  <c r="I43" i="28"/>
  <c r="E37" i="50"/>
  <c r="F37" i="50" s="1"/>
  <c r="D38" i="50" s="1"/>
  <c r="B38" i="50" s="1"/>
  <c r="F41" i="52"/>
  <c r="D42" i="52" s="1"/>
  <c r="G36" i="50"/>
  <c r="F44" i="44"/>
  <c r="E45" i="44" s="1"/>
  <c r="H36" i="50"/>
  <c r="G49" i="4"/>
  <c r="I49" i="4" s="1"/>
  <c r="D50" i="4"/>
  <c r="E50" i="4"/>
  <c r="B44" i="44"/>
  <c r="H50" i="5"/>
  <c r="D51" i="5"/>
  <c r="E51" i="5"/>
  <c r="F43" i="30"/>
  <c r="D47" i="24"/>
  <c r="B47" i="24" s="1"/>
  <c r="F44" i="29"/>
  <c r="H44" i="29" s="1"/>
  <c r="G48" i="25"/>
  <c r="I48" i="25" s="1"/>
  <c r="H46" i="24"/>
  <c r="I46" i="24" s="1"/>
  <c r="F50" i="8"/>
  <c r="B50" i="8"/>
  <c r="F51" i="9"/>
  <c r="H51" i="9" s="1"/>
  <c r="B51" i="9"/>
  <c r="D53" i="10"/>
  <c r="B53" i="10" s="1"/>
  <c r="I40" i="37"/>
  <c r="E47" i="24"/>
  <c r="G49" i="3"/>
  <c r="D50" i="3"/>
  <c r="E50" i="3" s="1"/>
  <c r="H49" i="3"/>
  <c r="I39" i="40"/>
  <c r="H50" i="6"/>
  <c r="I50" i="6" s="1"/>
  <c r="E51" i="6"/>
  <c r="D51" i="6"/>
  <c r="G44" i="31"/>
  <c r="E45" i="31"/>
  <c r="D45" i="31"/>
  <c r="H44" i="31"/>
  <c r="E49" i="25"/>
  <c r="D49" i="25"/>
  <c r="H52" i="10"/>
  <c r="G52" i="10"/>
  <c r="G52" i="7"/>
  <c r="D53" i="7"/>
  <c r="H52" i="7"/>
  <c r="E53" i="7"/>
  <c r="I40" i="38"/>
  <c r="H47" i="23"/>
  <c r="E48" i="23"/>
  <c r="G47" i="23"/>
  <c r="D48" i="23"/>
  <c r="I42" i="45"/>
  <c r="I39" i="43"/>
  <c r="I39" i="42"/>
  <c r="G39" i="46"/>
  <c r="I39" i="46" s="1"/>
  <c r="F45" i="28"/>
  <c r="G45" i="28" s="1"/>
  <c r="H43" i="45"/>
  <c r="D44" i="45"/>
  <c r="E44" i="45"/>
  <c r="G43" i="45"/>
  <c r="E40" i="40"/>
  <c r="F40" i="40" s="1"/>
  <c r="B40" i="40"/>
  <c r="E40" i="41"/>
  <c r="F40" i="41" s="1"/>
  <c r="B40" i="41"/>
  <c r="F41" i="39"/>
  <c r="H41" i="39" s="1"/>
  <c r="B41" i="39"/>
  <c r="G40" i="42"/>
  <c r="D41" i="42"/>
  <c r="B41" i="38"/>
  <c r="F41" i="38"/>
  <c r="H41" i="38" s="1"/>
  <c r="H52" i="11"/>
  <c r="I52" i="11" s="1"/>
  <c r="D53" i="11"/>
  <c r="E53" i="11"/>
  <c r="H40" i="42"/>
  <c r="B40" i="43"/>
  <c r="F40" i="43"/>
  <c r="H40" i="43" s="1"/>
  <c r="B49" i="22"/>
  <c r="F49" i="22"/>
  <c r="G49" i="22" s="1"/>
  <c r="D40" i="46"/>
  <c r="E40" i="46"/>
  <c r="H41" i="37"/>
  <c r="I41" i="37" s="1"/>
  <c r="D42" i="37"/>
  <c r="E42" i="37"/>
  <c r="B45" i="28"/>
  <c r="H45" i="51" l="1"/>
  <c r="G45" i="27"/>
  <c r="D46" i="27"/>
  <c r="E46" i="27"/>
  <c r="H45" i="27"/>
  <c r="I45" i="27" s="1"/>
  <c r="I45" i="51"/>
  <c r="H37" i="50"/>
  <c r="E38" i="50"/>
  <c r="F38" i="50" s="1"/>
  <c r="G38" i="50" s="1"/>
  <c r="E46" i="51"/>
  <c r="F46" i="51" s="1"/>
  <c r="D47" i="51" s="1"/>
  <c r="B46" i="51"/>
  <c r="G37" i="50"/>
  <c r="I36" i="50"/>
  <c r="H44" i="44"/>
  <c r="G41" i="52"/>
  <c r="H41" i="52"/>
  <c r="E42" i="52"/>
  <c r="F42" i="52" s="1"/>
  <c r="H42" i="52" s="1"/>
  <c r="D45" i="44"/>
  <c r="B45" i="44" s="1"/>
  <c r="G44" i="44"/>
  <c r="F50" i="4"/>
  <c r="H50" i="4" s="1"/>
  <c r="B50" i="4"/>
  <c r="I38" i="52"/>
  <c r="G44" i="29"/>
  <c r="I44" i="29" s="1"/>
  <c r="F51" i="5"/>
  <c r="H51" i="5" s="1"/>
  <c r="B51" i="5"/>
  <c r="B39" i="52"/>
  <c r="E45" i="29"/>
  <c r="D45" i="29"/>
  <c r="B45" i="29" s="1"/>
  <c r="F47" i="24"/>
  <c r="D48" i="24" s="1"/>
  <c r="E44" i="30"/>
  <c r="D44" i="30"/>
  <c r="H43" i="30"/>
  <c r="G43" i="30"/>
  <c r="F53" i="11"/>
  <c r="H53" i="11" s="1"/>
  <c r="F53" i="10"/>
  <c r="H53" i="10" s="1"/>
  <c r="G51" i="9"/>
  <c r="I51" i="9" s="1"/>
  <c r="D52" i="9"/>
  <c r="E52" i="9"/>
  <c r="E51" i="8"/>
  <c r="D51" i="8"/>
  <c r="H50" i="8"/>
  <c r="G50" i="8"/>
  <c r="E46" i="28"/>
  <c r="I47" i="23"/>
  <c r="I44" i="31"/>
  <c r="I49" i="3"/>
  <c r="F50" i="3"/>
  <c r="H50" i="3" s="1"/>
  <c r="B50" i="3"/>
  <c r="I52" i="10"/>
  <c r="B45" i="31"/>
  <c r="F45" i="31"/>
  <c r="H45" i="31" s="1"/>
  <c r="B49" i="25"/>
  <c r="F49" i="25"/>
  <c r="G49" i="25" s="1"/>
  <c r="B51" i="6"/>
  <c r="F51" i="6"/>
  <c r="F53" i="7"/>
  <c r="D54" i="7" s="1"/>
  <c r="I52" i="7"/>
  <c r="B53" i="7"/>
  <c r="B48" i="23"/>
  <c r="F48" i="23"/>
  <c r="G48" i="23" s="1"/>
  <c r="D46" i="28"/>
  <c r="H45" i="28"/>
  <c r="I45" i="28" s="1"/>
  <c r="D41" i="41"/>
  <c r="E41" i="41"/>
  <c r="H40" i="41"/>
  <c r="G40" i="41"/>
  <c r="H40" i="40"/>
  <c r="D41" i="40"/>
  <c r="E41" i="40"/>
  <c r="G41" i="38"/>
  <c r="I41" i="38" s="1"/>
  <c r="D42" i="38"/>
  <c r="E42" i="38"/>
  <c r="B53" i="11"/>
  <c r="F42" i="37"/>
  <c r="H42" i="37" s="1"/>
  <c r="B42" i="37"/>
  <c r="I40" i="42"/>
  <c r="I43" i="45"/>
  <c r="F44" i="45"/>
  <c r="D45" i="45" s="1"/>
  <c r="H49" i="22"/>
  <c r="I49" i="22" s="1"/>
  <c r="D50" i="22"/>
  <c r="E50" i="22"/>
  <c r="G41" i="39"/>
  <c r="I41" i="39" s="1"/>
  <c r="D42" i="39"/>
  <c r="B44" i="45"/>
  <c r="B40" i="46"/>
  <c r="F40" i="46"/>
  <c r="H40" i="46" s="1"/>
  <c r="G40" i="43"/>
  <c r="I40" i="43" s="1"/>
  <c r="D41" i="43"/>
  <c r="E41" i="42"/>
  <c r="F41" i="42" s="1"/>
  <c r="H41" i="42" s="1"/>
  <c r="B41" i="42"/>
  <c r="G40" i="40"/>
  <c r="D39" i="50" l="1"/>
  <c r="I37" i="50"/>
  <c r="H38" i="50"/>
  <c r="I44" i="44"/>
  <c r="F46" i="27"/>
  <c r="H46" i="27" s="1"/>
  <c r="B46" i="27"/>
  <c r="H46" i="51"/>
  <c r="G46" i="51"/>
  <c r="E47" i="51"/>
  <c r="B47" i="51"/>
  <c r="F47" i="51"/>
  <c r="D48" i="51" s="1"/>
  <c r="H47" i="51"/>
  <c r="D43" i="52"/>
  <c r="E43" i="52"/>
  <c r="F45" i="44"/>
  <c r="H45" i="44" s="1"/>
  <c r="G50" i="4"/>
  <c r="G42" i="52"/>
  <c r="I50" i="4"/>
  <c r="E51" i="4"/>
  <c r="D51" i="4"/>
  <c r="I38" i="50"/>
  <c r="G47" i="24"/>
  <c r="H47" i="24"/>
  <c r="E48" i="24"/>
  <c r="F48" i="24" s="1"/>
  <c r="G48" i="24" s="1"/>
  <c r="F45" i="29"/>
  <c r="G45" i="29" s="1"/>
  <c r="G51" i="5"/>
  <c r="E52" i="5"/>
  <c r="D52" i="5"/>
  <c r="E39" i="50"/>
  <c r="F39" i="50" s="1"/>
  <c r="B39" i="50"/>
  <c r="D54" i="11"/>
  <c r="B54" i="11" s="1"/>
  <c r="I43" i="30"/>
  <c r="B44" i="30"/>
  <c r="F44" i="30"/>
  <c r="D54" i="10"/>
  <c r="B54" i="10" s="1"/>
  <c r="G53" i="11"/>
  <c r="I53" i="11" s="1"/>
  <c r="E54" i="11"/>
  <c r="E54" i="10"/>
  <c r="G53" i="10"/>
  <c r="I53" i="10" s="1"/>
  <c r="I50" i="8"/>
  <c r="E54" i="7"/>
  <c r="F54" i="7" s="1"/>
  <c r="G54" i="7" s="1"/>
  <c r="F52" i="9"/>
  <c r="H52" i="9" s="1"/>
  <c r="B52" i="9"/>
  <c r="F46" i="28"/>
  <c r="H46" i="28" s="1"/>
  <c r="B51" i="8"/>
  <c r="F51" i="8"/>
  <c r="H53" i="7"/>
  <c r="G53" i="7"/>
  <c r="G50" i="3"/>
  <c r="I50" i="3" s="1"/>
  <c r="D51" i="3"/>
  <c r="E51" i="3" s="1"/>
  <c r="G51" i="6"/>
  <c r="D52" i="6"/>
  <c r="E52" i="6"/>
  <c r="H49" i="25"/>
  <c r="I49" i="25" s="1"/>
  <c r="D50" i="25"/>
  <c r="E50" i="25"/>
  <c r="G45" i="31"/>
  <c r="I45" i="31" s="1"/>
  <c r="D46" i="31"/>
  <c r="E46" i="31"/>
  <c r="H51" i="6"/>
  <c r="B46" i="28"/>
  <c r="B54" i="7"/>
  <c r="D49" i="23"/>
  <c r="H48" i="23"/>
  <c r="I48" i="23" s="1"/>
  <c r="E49" i="23"/>
  <c r="B48" i="24"/>
  <c r="G41" i="42"/>
  <c r="I41" i="42" s="1"/>
  <c r="D42" i="42"/>
  <c r="E42" i="42"/>
  <c r="G40" i="46"/>
  <c r="I40" i="46" s="1"/>
  <c r="D41" i="46"/>
  <c r="E41" i="46"/>
  <c r="I40" i="41"/>
  <c r="I40" i="40"/>
  <c r="F41" i="41"/>
  <c r="G41" i="41" s="1"/>
  <c r="B41" i="41"/>
  <c r="E41" i="43"/>
  <c r="F41" i="43" s="1"/>
  <c r="G41" i="43" s="1"/>
  <c r="B41" i="43"/>
  <c r="E45" i="45"/>
  <c r="F45" i="45" s="1"/>
  <c r="G45" i="45" s="1"/>
  <c r="B45" i="45"/>
  <c r="F41" i="40"/>
  <c r="H41" i="40" s="1"/>
  <c r="B41" i="40"/>
  <c r="E42" i="39"/>
  <c r="F42" i="39" s="1"/>
  <c r="B42" i="39"/>
  <c r="F42" i="38"/>
  <c r="B42" i="38"/>
  <c r="H44" i="45"/>
  <c r="B50" i="22"/>
  <c r="F50" i="22"/>
  <c r="G50" i="22" s="1"/>
  <c r="G44" i="45"/>
  <c r="G42" i="37"/>
  <c r="I42" i="37" s="1"/>
  <c r="D43" i="37"/>
  <c r="G46" i="27" l="1"/>
  <c r="D47" i="27"/>
  <c r="E47" i="27"/>
  <c r="I46" i="27"/>
  <c r="I46" i="51"/>
  <c r="G47" i="51"/>
  <c r="I47" i="51"/>
  <c r="E48" i="51"/>
  <c r="F48" i="51" s="1"/>
  <c r="B48" i="51"/>
  <c r="F43" i="52"/>
  <c r="D44" i="52" s="1"/>
  <c r="I47" i="24"/>
  <c r="D46" i="44"/>
  <c r="B46" i="44" s="1"/>
  <c r="E46" i="44"/>
  <c r="G45" i="44"/>
  <c r="I45" i="44" s="1"/>
  <c r="F51" i="4"/>
  <c r="G51" i="4" s="1"/>
  <c r="B51" i="4"/>
  <c r="F54" i="11"/>
  <c r="G54" i="11" s="1"/>
  <c r="E46" i="29"/>
  <c r="D46" i="29"/>
  <c r="B46" i="29" s="1"/>
  <c r="I39" i="52"/>
  <c r="H45" i="29"/>
  <c r="I45" i="29" s="1"/>
  <c r="G39" i="50"/>
  <c r="D40" i="50"/>
  <c r="H39" i="50"/>
  <c r="F52" i="5"/>
  <c r="H52" i="5" s="1"/>
  <c r="B52" i="5"/>
  <c r="B40" i="52"/>
  <c r="G44" i="30"/>
  <c r="D45" i="30"/>
  <c r="E45" i="30"/>
  <c r="F54" i="10"/>
  <c r="E55" i="10" s="1"/>
  <c r="H44" i="30"/>
  <c r="I53" i="7"/>
  <c r="D47" i="28"/>
  <c r="B47" i="28" s="1"/>
  <c r="G46" i="28"/>
  <c r="I46" i="28" s="1"/>
  <c r="E47" i="28"/>
  <c r="H51" i="8"/>
  <c r="D52" i="8"/>
  <c r="E52" i="8"/>
  <c r="G51" i="8"/>
  <c r="G52" i="9"/>
  <c r="I52" i="9" s="1"/>
  <c r="D53" i="9"/>
  <c r="E53" i="9"/>
  <c r="F51" i="3"/>
  <c r="B51" i="3"/>
  <c r="I51" i="6"/>
  <c r="B50" i="25"/>
  <c r="F50" i="25"/>
  <c r="G50" i="25" s="1"/>
  <c r="B52" i="6"/>
  <c r="F52" i="6"/>
  <c r="B46" i="31"/>
  <c r="F46" i="31"/>
  <c r="H46" i="31" s="1"/>
  <c r="H54" i="7"/>
  <c r="I54" i="7" s="1"/>
  <c r="D55" i="7"/>
  <c r="E55" i="7"/>
  <c r="E49" i="24"/>
  <c r="D49" i="24"/>
  <c r="B49" i="24" s="1"/>
  <c r="H48" i="24"/>
  <c r="I48" i="24" s="1"/>
  <c r="F49" i="23"/>
  <c r="G49" i="23" s="1"/>
  <c r="B49" i="23"/>
  <c r="H42" i="39"/>
  <c r="D43" i="39"/>
  <c r="G42" i="39"/>
  <c r="H41" i="43"/>
  <c r="I41" i="43" s="1"/>
  <c r="D42" i="43"/>
  <c r="E42" i="43"/>
  <c r="I44" i="45"/>
  <c r="G41" i="40"/>
  <c r="I41" i="40" s="1"/>
  <c r="D42" i="40"/>
  <c r="E42" i="40"/>
  <c r="E43" i="37"/>
  <c r="F43" i="37" s="1"/>
  <c r="B43" i="37"/>
  <c r="H42" i="38"/>
  <c r="D43" i="38"/>
  <c r="E43" i="38"/>
  <c r="H50" i="22"/>
  <c r="I50" i="22" s="1"/>
  <c r="D51" i="22"/>
  <c r="E51" i="22"/>
  <c r="H45" i="45"/>
  <c r="I45" i="45" s="1"/>
  <c r="D46" i="45"/>
  <c r="E46" i="45"/>
  <c r="H41" i="41"/>
  <c r="I41" i="41" s="1"/>
  <c r="D42" i="41"/>
  <c r="E42" i="41"/>
  <c r="B41" i="46"/>
  <c r="F41" i="46"/>
  <c r="H41" i="46" s="1"/>
  <c r="B42" i="42"/>
  <c r="F42" i="42"/>
  <c r="H42" i="42" s="1"/>
  <c r="G42" i="38"/>
  <c r="D49" i="51" l="1"/>
  <c r="G48" i="51"/>
  <c r="H48" i="51"/>
  <c r="F47" i="27"/>
  <c r="B47" i="27"/>
  <c r="H47" i="27"/>
  <c r="I48" i="51"/>
  <c r="E49" i="51"/>
  <c r="F49" i="51" s="1"/>
  <c r="B49" i="51"/>
  <c r="G43" i="52"/>
  <c r="H43" i="52"/>
  <c r="E44" i="52"/>
  <c r="F44" i="52" s="1"/>
  <c r="F46" i="44"/>
  <c r="D47" i="44" s="1"/>
  <c r="B47" i="44" s="1"/>
  <c r="E55" i="11"/>
  <c r="D55" i="11"/>
  <c r="B55" i="11" s="1"/>
  <c r="H54" i="11"/>
  <c r="I54" i="11" s="1"/>
  <c r="H51" i="4"/>
  <c r="I51" i="4" s="1"/>
  <c r="E52" i="4"/>
  <c r="D52" i="4"/>
  <c r="I39" i="50"/>
  <c r="F46" i="29"/>
  <c r="E47" i="29" s="1"/>
  <c r="G52" i="5"/>
  <c r="D53" i="5"/>
  <c r="E53" i="5"/>
  <c r="E40" i="50"/>
  <c r="F40" i="50" s="1"/>
  <c r="B40" i="50"/>
  <c r="D55" i="10"/>
  <c r="F55" i="10" s="1"/>
  <c r="G55" i="10" s="1"/>
  <c r="F47" i="28"/>
  <c r="G47" i="28" s="1"/>
  <c r="I44" i="30"/>
  <c r="H54" i="10"/>
  <c r="B45" i="30"/>
  <c r="F45" i="30"/>
  <c r="H45" i="30" s="1"/>
  <c r="G54" i="10"/>
  <c r="H50" i="25"/>
  <c r="I50" i="25" s="1"/>
  <c r="B52" i="8"/>
  <c r="F52" i="8"/>
  <c r="H52" i="8" s="1"/>
  <c r="F49" i="24"/>
  <c r="H49" i="24" s="1"/>
  <c r="F53" i="9"/>
  <c r="B53" i="9"/>
  <c r="I51" i="8"/>
  <c r="G51" i="3"/>
  <c r="D52" i="3"/>
  <c r="E52" i="3"/>
  <c r="H51" i="3"/>
  <c r="D51" i="25"/>
  <c r="E51" i="25"/>
  <c r="G46" i="31"/>
  <c r="I46" i="31" s="1"/>
  <c r="D47" i="31"/>
  <c r="E47" i="31"/>
  <c r="G52" i="6"/>
  <c r="E53" i="6"/>
  <c r="D53" i="6"/>
  <c r="H52" i="6"/>
  <c r="F55" i="7"/>
  <c r="G55" i="7" s="1"/>
  <c r="B55" i="7"/>
  <c r="D50" i="23"/>
  <c r="E50" i="23"/>
  <c r="H49" i="23"/>
  <c r="I49" i="23" s="1"/>
  <c r="F46" i="45"/>
  <c r="D47" i="45" s="1"/>
  <c r="B47" i="45" s="1"/>
  <c r="H43" i="37"/>
  <c r="D44" i="37"/>
  <c r="G43" i="37"/>
  <c r="F42" i="40"/>
  <c r="H42" i="40" s="1"/>
  <c r="B42" i="40"/>
  <c r="I42" i="38"/>
  <c r="B51" i="22"/>
  <c r="F51" i="22"/>
  <c r="G51" i="22" s="1"/>
  <c r="B42" i="43"/>
  <c r="F42" i="43"/>
  <c r="H42" i="43" s="1"/>
  <c r="G42" i="42"/>
  <c r="I42" i="42" s="1"/>
  <c r="D43" i="42"/>
  <c r="E43" i="42"/>
  <c r="B42" i="41"/>
  <c r="F42" i="41"/>
  <c r="G42" i="41" s="1"/>
  <c r="I42" i="39"/>
  <c r="E43" i="39"/>
  <c r="F43" i="39" s="1"/>
  <c r="H43" i="39" s="1"/>
  <c r="B43" i="39"/>
  <c r="D42" i="46"/>
  <c r="E42" i="46"/>
  <c r="B43" i="38"/>
  <c r="F43" i="38"/>
  <c r="D44" i="38" s="1"/>
  <c r="G41" i="46"/>
  <c r="I41" i="46" s="1"/>
  <c r="B46" i="45"/>
  <c r="G47" i="27" l="1"/>
  <c r="I47" i="27" s="1"/>
  <c r="D48" i="27"/>
  <c r="E48" i="27"/>
  <c r="H46" i="44"/>
  <c r="D50" i="51"/>
  <c r="G49" i="51"/>
  <c r="H49" i="51"/>
  <c r="F55" i="11"/>
  <c r="E56" i="11" s="1"/>
  <c r="G46" i="29"/>
  <c r="D47" i="29"/>
  <c r="F47" i="29" s="1"/>
  <c r="H47" i="29" s="1"/>
  <c r="H44" i="52"/>
  <c r="E45" i="52"/>
  <c r="D45" i="52"/>
  <c r="G44" i="52"/>
  <c r="E47" i="44"/>
  <c r="F47" i="44" s="1"/>
  <c r="E48" i="44" s="1"/>
  <c r="G46" i="44"/>
  <c r="H46" i="29"/>
  <c r="I46" i="29" s="1"/>
  <c r="B52" i="4"/>
  <c r="F52" i="4"/>
  <c r="H52" i="4" s="1"/>
  <c r="I40" i="52"/>
  <c r="G40" i="50"/>
  <c r="D41" i="50"/>
  <c r="H40" i="50"/>
  <c r="F53" i="5"/>
  <c r="H53" i="5" s="1"/>
  <c r="B53" i="5"/>
  <c r="H47" i="28"/>
  <c r="I47" i="28" s="1"/>
  <c r="B47" i="29"/>
  <c r="B41" i="52"/>
  <c r="E48" i="28"/>
  <c r="D48" i="28"/>
  <c r="B48" i="28" s="1"/>
  <c r="G49" i="24"/>
  <c r="I49" i="24" s="1"/>
  <c r="H55" i="10"/>
  <c r="I55" i="10" s="1"/>
  <c r="B55" i="10"/>
  <c r="D56" i="10"/>
  <c r="B56" i="10" s="1"/>
  <c r="E56" i="10"/>
  <c r="I54" i="10"/>
  <c r="G45" i="30"/>
  <c r="I45" i="30" s="1"/>
  <c r="E46" i="30"/>
  <c r="D46" i="30"/>
  <c r="E50" i="24"/>
  <c r="D50" i="24"/>
  <c r="B50" i="24" s="1"/>
  <c r="H53" i="9"/>
  <c r="D54" i="9"/>
  <c r="E54" i="9"/>
  <c r="G52" i="8"/>
  <c r="I52" i="8" s="1"/>
  <c r="D53" i="8"/>
  <c r="E53" i="8"/>
  <c r="G53" i="9"/>
  <c r="I52" i="6"/>
  <c r="E47" i="45"/>
  <c r="F47" i="45" s="1"/>
  <c r="G47" i="45" s="1"/>
  <c r="F52" i="3"/>
  <c r="H52" i="3" s="1"/>
  <c r="B52" i="3"/>
  <c r="I51" i="3"/>
  <c r="H46" i="45"/>
  <c r="F47" i="31"/>
  <c r="G47" i="31" s="1"/>
  <c r="B47" i="31"/>
  <c r="F53" i="6"/>
  <c r="H53" i="6" s="1"/>
  <c r="B53" i="6"/>
  <c r="B51" i="25"/>
  <c r="F51" i="25"/>
  <c r="G51" i="25" s="1"/>
  <c r="G46" i="45"/>
  <c r="H55" i="7"/>
  <c r="I55" i="7" s="1"/>
  <c r="H42" i="41"/>
  <c r="I42" i="41" s="1"/>
  <c r="D56" i="7"/>
  <c r="E56" i="7"/>
  <c r="G43" i="38"/>
  <c r="B50" i="23"/>
  <c r="F50" i="23"/>
  <c r="I43" i="37"/>
  <c r="H43" i="38"/>
  <c r="F43" i="42"/>
  <c r="H43" i="42" s="1"/>
  <c r="B43" i="42"/>
  <c r="G42" i="43"/>
  <c r="I42" i="43" s="1"/>
  <c r="D43" i="43"/>
  <c r="H51" i="22"/>
  <c r="I51" i="22" s="1"/>
  <c r="D52" i="22"/>
  <c r="E52" i="22"/>
  <c r="F42" i="46"/>
  <c r="G42" i="46" s="1"/>
  <c r="B42" i="46"/>
  <c r="D43" i="41"/>
  <c r="E43" i="41"/>
  <c r="G42" i="40"/>
  <c r="I42" i="40" s="1"/>
  <c r="D43" i="40"/>
  <c r="E43" i="40"/>
  <c r="E44" i="37"/>
  <c r="F44" i="37" s="1"/>
  <c r="B44" i="37"/>
  <c r="G55" i="11"/>
  <c r="D56" i="11"/>
  <c r="E44" i="38"/>
  <c r="F44" i="38" s="1"/>
  <c r="B44" i="38"/>
  <c r="H55" i="11"/>
  <c r="G47" i="29"/>
  <c r="I47" i="29" s="1"/>
  <c r="D48" i="29"/>
  <c r="E48" i="29"/>
  <c r="G43" i="39"/>
  <c r="I43" i="39" s="1"/>
  <c r="D44" i="39"/>
  <c r="E44" i="39"/>
  <c r="I49" i="51" l="1"/>
  <c r="B48" i="27"/>
  <c r="F48" i="27"/>
  <c r="G48" i="27" s="1"/>
  <c r="I46" i="44"/>
  <c r="D48" i="44"/>
  <c r="F48" i="44" s="1"/>
  <c r="F45" i="52"/>
  <c r="G45" i="52" s="1"/>
  <c r="E50" i="51"/>
  <c r="F50" i="51" s="1"/>
  <c r="B50" i="51"/>
  <c r="G47" i="44"/>
  <c r="H47" i="44"/>
  <c r="G52" i="4"/>
  <c r="I52" i="4" s="1"/>
  <c r="D53" i="4"/>
  <c r="E53" i="4"/>
  <c r="H45" i="52"/>
  <c r="G53" i="5"/>
  <c r="I40" i="50"/>
  <c r="I41" i="52"/>
  <c r="F56" i="10"/>
  <c r="H56" i="10" s="1"/>
  <c r="F48" i="28"/>
  <c r="H48" i="28" s="1"/>
  <c r="D54" i="5"/>
  <c r="E54" i="5"/>
  <c r="E41" i="50"/>
  <c r="F41" i="50" s="1"/>
  <c r="B41" i="50"/>
  <c r="F46" i="30"/>
  <c r="H46" i="30" s="1"/>
  <c r="B46" i="30"/>
  <c r="F50" i="24"/>
  <c r="G50" i="24" s="1"/>
  <c r="F48" i="29"/>
  <c r="G48" i="29" s="1"/>
  <c r="G52" i="3"/>
  <c r="I52" i="3" s="1"/>
  <c r="F53" i="8"/>
  <c r="E54" i="8" s="1"/>
  <c r="B54" i="9"/>
  <c r="F54" i="9"/>
  <c r="G54" i="9" s="1"/>
  <c r="B53" i="8"/>
  <c r="I53" i="9"/>
  <c r="I43" i="38"/>
  <c r="D48" i="45"/>
  <c r="B48" i="45" s="1"/>
  <c r="F56" i="11"/>
  <c r="H56" i="11" s="1"/>
  <c r="D53" i="3"/>
  <c r="E53" i="3" s="1"/>
  <c r="H47" i="45"/>
  <c r="I47" i="45" s="1"/>
  <c r="I46" i="45"/>
  <c r="D54" i="6"/>
  <c r="E54" i="6"/>
  <c r="G53" i="6"/>
  <c r="I53" i="6" s="1"/>
  <c r="H51" i="25"/>
  <c r="I51" i="25" s="1"/>
  <c r="E52" i="25"/>
  <c r="D52" i="25"/>
  <c r="H47" i="31"/>
  <c r="I47" i="31" s="1"/>
  <c r="D48" i="31"/>
  <c r="E48" i="31"/>
  <c r="F56" i="7"/>
  <c r="H56" i="7" s="1"/>
  <c r="B56" i="7"/>
  <c r="G50" i="23"/>
  <c r="E51" i="23"/>
  <c r="D51" i="23"/>
  <c r="H50" i="23"/>
  <c r="I55" i="11"/>
  <c r="H42" i="46"/>
  <c r="I42" i="46" s="1"/>
  <c r="G44" i="38"/>
  <c r="D45" i="38"/>
  <c r="H44" i="38"/>
  <c r="H44" i="37"/>
  <c r="D45" i="37"/>
  <c r="G44" i="37"/>
  <c r="B44" i="39"/>
  <c r="F44" i="39"/>
  <c r="H44" i="39" s="1"/>
  <c r="F43" i="41"/>
  <c r="H43" i="41" s="1"/>
  <c r="B43" i="41"/>
  <c r="E48" i="45"/>
  <c r="B56" i="11"/>
  <c r="G43" i="42"/>
  <c r="I43" i="42" s="1"/>
  <c r="D44" i="42"/>
  <c r="E44" i="42"/>
  <c r="E43" i="43"/>
  <c r="F43" i="43" s="1"/>
  <c r="H43" i="43" s="1"/>
  <c r="B43" i="43"/>
  <c r="F52" i="22"/>
  <c r="G52" i="22" s="1"/>
  <c r="D43" i="46"/>
  <c r="E43" i="46"/>
  <c r="B52" i="22"/>
  <c r="F43" i="40"/>
  <c r="H43" i="40" s="1"/>
  <c r="B43" i="40"/>
  <c r="B48" i="29"/>
  <c r="B48" i="44" l="1"/>
  <c r="D46" i="52"/>
  <c r="H48" i="27"/>
  <c r="I48" i="27" s="1"/>
  <c r="D49" i="27"/>
  <c r="E49" i="27"/>
  <c r="D51" i="51"/>
  <c r="E51" i="51" s="1"/>
  <c r="F51" i="51" s="1"/>
  <c r="D52" i="51" s="1"/>
  <c r="G50" i="51"/>
  <c r="H50" i="51"/>
  <c r="I47" i="44"/>
  <c r="G56" i="10"/>
  <c r="I56" i="10" s="1"/>
  <c r="B53" i="4"/>
  <c r="F53" i="4"/>
  <c r="G53" i="4" s="1"/>
  <c r="E46" i="52"/>
  <c r="F46" i="52" s="1"/>
  <c r="D57" i="10"/>
  <c r="B57" i="10" s="1"/>
  <c r="E49" i="28"/>
  <c r="E57" i="10"/>
  <c r="D42" i="50"/>
  <c r="B42" i="50" s="1"/>
  <c r="G41" i="50"/>
  <c r="D49" i="28"/>
  <c r="B49" i="28" s="1"/>
  <c r="G48" i="28"/>
  <c r="I48" i="28" s="1"/>
  <c r="E42" i="50"/>
  <c r="B42" i="52"/>
  <c r="H41" i="50"/>
  <c r="B54" i="5"/>
  <c r="F54" i="5"/>
  <c r="G54" i="5" s="1"/>
  <c r="H50" i="24"/>
  <c r="I50" i="24" s="1"/>
  <c r="G48" i="44"/>
  <c r="D49" i="44"/>
  <c r="H48" i="44"/>
  <c r="E49" i="44"/>
  <c r="G46" i="30"/>
  <c r="I46" i="30" s="1"/>
  <c r="E47" i="30"/>
  <c r="D47" i="30"/>
  <c r="E49" i="29"/>
  <c r="E51" i="24"/>
  <c r="D49" i="29"/>
  <c r="B49" i="29" s="1"/>
  <c r="D51" i="24"/>
  <c r="B51" i="24" s="1"/>
  <c r="H48" i="29"/>
  <c r="I48" i="29" s="1"/>
  <c r="G53" i="8"/>
  <c r="H53" i="8"/>
  <c r="D54" i="8"/>
  <c r="B54" i="8" s="1"/>
  <c r="G56" i="11"/>
  <c r="I56" i="11" s="1"/>
  <c r="F48" i="45"/>
  <c r="G48" i="45" s="1"/>
  <c r="H54" i="9"/>
  <c r="I54" i="9" s="1"/>
  <c r="D57" i="11"/>
  <c r="B57" i="11" s="1"/>
  <c r="E57" i="11"/>
  <c r="E55" i="9"/>
  <c r="D55" i="9"/>
  <c r="F53" i="3"/>
  <c r="B53" i="3"/>
  <c r="B48" i="31"/>
  <c r="F48" i="31"/>
  <c r="G48" i="31" s="1"/>
  <c r="F52" i="25"/>
  <c r="H52" i="25" s="1"/>
  <c r="B52" i="25"/>
  <c r="F54" i="6"/>
  <c r="H54" i="6" s="1"/>
  <c r="B54" i="6"/>
  <c r="I50" i="23"/>
  <c r="G56" i="7"/>
  <c r="I56" i="7" s="1"/>
  <c r="D57" i="7"/>
  <c r="E57" i="7"/>
  <c r="F51" i="23"/>
  <c r="B51" i="23"/>
  <c r="I44" i="38"/>
  <c r="I44" i="37"/>
  <c r="B43" i="46"/>
  <c r="F43" i="46"/>
  <c r="G43" i="46" s="1"/>
  <c r="E45" i="37"/>
  <c r="F45" i="37" s="1"/>
  <c r="B45" i="37"/>
  <c r="G43" i="43"/>
  <c r="I43" i="43" s="1"/>
  <c r="D44" i="43"/>
  <c r="G43" i="41"/>
  <c r="I43" i="41" s="1"/>
  <c r="D44" i="41"/>
  <c r="E44" i="41"/>
  <c r="G44" i="39"/>
  <c r="I44" i="39" s="1"/>
  <c r="D45" i="39"/>
  <c r="E45" i="38"/>
  <c r="F45" i="38" s="1"/>
  <c r="B45" i="38"/>
  <c r="H52" i="22"/>
  <c r="I52" i="22" s="1"/>
  <c r="D53" i="22"/>
  <c r="E53" i="22"/>
  <c r="G43" i="40"/>
  <c r="I43" i="40" s="1"/>
  <c r="D44" i="40"/>
  <c r="E44" i="40"/>
  <c r="F44" i="42"/>
  <c r="B44" i="42"/>
  <c r="I50" i="51" l="1"/>
  <c r="B51" i="51"/>
  <c r="B49" i="27"/>
  <c r="F49" i="27"/>
  <c r="H49" i="27" s="1"/>
  <c r="G51" i="51"/>
  <c r="H51" i="51"/>
  <c r="I51" i="51" s="1"/>
  <c r="E52" i="51"/>
  <c r="F52" i="51" s="1"/>
  <c r="B52" i="51"/>
  <c r="F42" i="50"/>
  <c r="D43" i="50" s="1"/>
  <c r="B43" i="50" s="1"/>
  <c r="D47" i="52"/>
  <c r="H46" i="52"/>
  <c r="F57" i="10"/>
  <c r="E58" i="10" s="1"/>
  <c r="H53" i="4"/>
  <c r="I53" i="4" s="1"/>
  <c r="D54" i="4"/>
  <c r="E54" i="4"/>
  <c r="G46" i="52"/>
  <c r="E47" i="52"/>
  <c r="F49" i="28"/>
  <c r="H49" i="28" s="1"/>
  <c r="I41" i="50"/>
  <c r="H54" i="5"/>
  <c r="E55" i="5"/>
  <c r="D55" i="5"/>
  <c r="B43" i="52"/>
  <c r="I48" i="44"/>
  <c r="F54" i="8"/>
  <c r="H54" i="8" s="1"/>
  <c r="I42" i="52"/>
  <c r="B49" i="44"/>
  <c r="F49" i="44"/>
  <c r="F47" i="30"/>
  <c r="G47" i="30" s="1"/>
  <c r="B47" i="30"/>
  <c r="F49" i="29"/>
  <c r="H49" i="29" s="1"/>
  <c r="F51" i="24"/>
  <c r="G51" i="24" s="1"/>
  <c r="I53" i="8"/>
  <c r="H48" i="45"/>
  <c r="I48" i="45" s="1"/>
  <c r="D49" i="45"/>
  <c r="B49" i="45" s="1"/>
  <c r="E49" i="45"/>
  <c r="F57" i="11"/>
  <c r="H57" i="11" s="1"/>
  <c r="F55" i="9"/>
  <c r="H55" i="9" s="1"/>
  <c r="B55" i="9"/>
  <c r="G53" i="3"/>
  <c r="D54" i="3"/>
  <c r="E54" i="3" s="1"/>
  <c r="H53" i="3"/>
  <c r="G52" i="25"/>
  <c r="I52" i="25" s="1"/>
  <c r="E53" i="25"/>
  <c r="D53" i="25"/>
  <c r="H48" i="31"/>
  <c r="I48" i="31" s="1"/>
  <c r="D49" i="31"/>
  <c r="E49" i="31"/>
  <c r="D55" i="6"/>
  <c r="E55" i="6"/>
  <c r="G54" i="6"/>
  <c r="I54" i="6" s="1"/>
  <c r="F57" i="7"/>
  <c r="H57" i="7" s="1"/>
  <c r="B57" i="7"/>
  <c r="H51" i="23"/>
  <c r="E52" i="23"/>
  <c r="G51" i="23"/>
  <c r="D52" i="23"/>
  <c r="H45" i="37"/>
  <c r="D46" i="37"/>
  <c r="E46" i="37"/>
  <c r="G45" i="37"/>
  <c r="E44" i="43"/>
  <c r="F44" i="43" s="1"/>
  <c r="B44" i="43"/>
  <c r="G45" i="38"/>
  <c r="D46" i="38"/>
  <c r="E46" i="38"/>
  <c r="H43" i="46"/>
  <c r="I43" i="46" s="1"/>
  <c r="D44" i="46"/>
  <c r="E44" i="46"/>
  <c r="F53" i="22"/>
  <c r="G53" i="22" s="1"/>
  <c r="E45" i="39"/>
  <c r="F45" i="39" s="1"/>
  <c r="B45" i="39"/>
  <c r="B53" i="22"/>
  <c r="H44" i="42"/>
  <c r="D45" i="42"/>
  <c r="G44" i="42"/>
  <c r="B44" i="40"/>
  <c r="F44" i="40"/>
  <c r="G44" i="40" s="1"/>
  <c r="H45" i="38"/>
  <c r="B44" i="41"/>
  <c r="F44" i="41"/>
  <c r="H44" i="41" s="1"/>
  <c r="G49" i="27" l="1"/>
  <c r="I49" i="27" s="1"/>
  <c r="D50" i="27"/>
  <c r="E50" i="27"/>
  <c r="D53" i="51"/>
  <c r="E53" i="51" s="1"/>
  <c r="F53" i="51" s="1"/>
  <c r="D54" i="51" s="1"/>
  <c r="G52" i="51"/>
  <c r="H52" i="51"/>
  <c r="I52" i="51" s="1"/>
  <c r="G42" i="50"/>
  <c r="D58" i="10"/>
  <c r="F58" i="10" s="1"/>
  <c r="D50" i="28"/>
  <c r="H42" i="50"/>
  <c r="B53" i="51"/>
  <c r="E43" i="50"/>
  <c r="F43" i="50" s="1"/>
  <c r="H43" i="50" s="1"/>
  <c r="G49" i="28"/>
  <c r="E50" i="28"/>
  <c r="F50" i="28" s="1"/>
  <c r="H50" i="28" s="1"/>
  <c r="G57" i="10"/>
  <c r="H57" i="10"/>
  <c r="F47" i="52"/>
  <c r="D48" i="52" s="1"/>
  <c r="F54" i="4"/>
  <c r="H54" i="4" s="1"/>
  <c r="B54" i="4"/>
  <c r="D55" i="8"/>
  <c r="E55" i="8"/>
  <c r="G54" i="8"/>
  <c r="I54" i="8" s="1"/>
  <c r="B55" i="5"/>
  <c r="F55" i="5"/>
  <c r="I43" i="52"/>
  <c r="E52" i="24"/>
  <c r="D52" i="24"/>
  <c r="B52" i="24" s="1"/>
  <c r="H51" i="24"/>
  <c r="I51" i="24" s="1"/>
  <c r="G49" i="29"/>
  <c r="I49" i="29" s="1"/>
  <c r="D50" i="29"/>
  <c r="F49" i="45"/>
  <c r="D50" i="45" s="1"/>
  <c r="B50" i="45" s="1"/>
  <c r="E50" i="44"/>
  <c r="D50" i="44"/>
  <c r="E50" i="29"/>
  <c r="H49" i="44"/>
  <c r="G49" i="44"/>
  <c r="H47" i="30"/>
  <c r="I47" i="30" s="1"/>
  <c r="D48" i="30"/>
  <c r="E48" i="30"/>
  <c r="G57" i="11"/>
  <c r="I57" i="11" s="1"/>
  <c r="D58" i="11"/>
  <c r="B58" i="11" s="1"/>
  <c r="G57" i="7"/>
  <c r="I57" i="7" s="1"/>
  <c r="G55" i="9"/>
  <c r="I55" i="9" s="1"/>
  <c r="D56" i="9"/>
  <c r="E56" i="9"/>
  <c r="I53" i="3"/>
  <c r="F54" i="3"/>
  <c r="B54" i="3"/>
  <c r="I45" i="38"/>
  <c r="F49" i="31"/>
  <c r="H49" i="31" s="1"/>
  <c r="B49" i="31"/>
  <c r="B53" i="25"/>
  <c r="F53" i="25"/>
  <c r="G53" i="25" s="1"/>
  <c r="B55" i="6"/>
  <c r="F55" i="6"/>
  <c r="H55" i="6" s="1"/>
  <c r="I51" i="23"/>
  <c r="E58" i="7"/>
  <c r="D58" i="7"/>
  <c r="I45" i="37"/>
  <c r="B52" i="23"/>
  <c r="F52" i="23"/>
  <c r="H52" i="23" s="1"/>
  <c r="D45" i="43"/>
  <c r="E45" i="43"/>
  <c r="H44" i="43"/>
  <c r="G44" i="43"/>
  <c r="H45" i="39"/>
  <c r="D46" i="39"/>
  <c r="E46" i="39"/>
  <c r="G45" i="39"/>
  <c r="H53" i="22"/>
  <c r="I53" i="22" s="1"/>
  <c r="D54" i="22"/>
  <c r="E54" i="22"/>
  <c r="B44" i="46"/>
  <c r="F44" i="46"/>
  <c r="H44" i="46" s="1"/>
  <c r="B50" i="28"/>
  <c r="G44" i="41"/>
  <c r="I44" i="41" s="1"/>
  <c r="D45" i="41"/>
  <c r="E45" i="41"/>
  <c r="I49" i="28"/>
  <c r="H44" i="40"/>
  <c r="I44" i="40" s="1"/>
  <c r="D45" i="40"/>
  <c r="E45" i="40"/>
  <c r="B46" i="37"/>
  <c r="F46" i="37"/>
  <c r="H46" i="37" s="1"/>
  <c r="B46" i="38"/>
  <c r="F46" i="38"/>
  <c r="G46" i="38" s="1"/>
  <c r="I44" i="42"/>
  <c r="E45" i="42"/>
  <c r="F45" i="42" s="1"/>
  <c r="H45" i="42" s="1"/>
  <c r="B45" i="42"/>
  <c r="B58" i="10" l="1"/>
  <c r="I42" i="50"/>
  <c r="F50" i="27"/>
  <c r="B50" i="27"/>
  <c r="G50" i="27"/>
  <c r="H50" i="27"/>
  <c r="I57" i="10"/>
  <c r="H53" i="51"/>
  <c r="G53" i="51"/>
  <c r="E54" i="51"/>
  <c r="B54" i="51"/>
  <c r="F54" i="51"/>
  <c r="D55" i="51" s="1"/>
  <c r="H54" i="51"/>
  <c r="G47" i="52"/>
  <c r="E48" i="52"/>
  <c r="F48" i="52" s="1"/>
  <c r="H48" i="52" s="1"/>
  <c r="G54" i="4"/>
  <c r="I54" i="4" s="1"/>
  <c r="H47" i="52"/>
  <c r="E55" i="4"/>
  <c r="D55" i="4"/>
  <c r="E58" i="11"/>
  <c r="F58" i="11" s="1"/>
  <c r="H58" i="11" s="1"/>
  <c r="E44" i="50"/>
  <c r="D44" i="50"/>
  <c r="B44" i="50" s="1"/>
  <c r="G43" i="50"/>
  <c r="I43" i="50" s="1"/>
  <c r="F52" i="24"/>
  <c r="H52" i="24" s="1"/>
  <c r="F55" i="8"/>
  <c r="G55" i="8" s="1"/>
  <c r="B55" i="8"/>
  <c r="F50" i="29"/>
  <c r="G50" i="29" s="1"/>
  <c r="G55" i="5"/>
  <c r="E56" i="5"/>
  <c r="D56" i="5"/>
  <c r="H55" i="5"/>
  <c r="B44" i="52"/>
  <c r="E50" i="45"/>
  <c r="F50" i="45" s="1"/>
  <c r="G50" i="45" s="1"/>
  <c r="B50" i="29"/>
  <c r="H49" i="45"/>
  <c r="G49" i="45"/>
  <c r="I49" i="44"/>
  <c r="F50" i="44"/>
  <c r="G50" i="44" s="1"/>
  <c r="B50" i="44"/>
  <c r="B48" i="30"/>
  <c r="F48" i="30"/>
  <c r="H48" i="30" s="1"/>
  <c r="G58" i="10"/>
  <c r="D59" i="10"/>
  <c r="H58" i="10"/>
  <c r="G55" i="6"/>
  <c r="I55" i="6" s="1"/>
  <c r="F56" i="9"/>
  <c r="G56" i="9" s="1"/>
  <c r="B56" i="9"/>
  <c r="G54" i="3"/>
  <c r="D55" i="3"/>
  <c r="E55" i="3" s="1"/>
  <c r="H54" i="3"/>
  <c r="H53" i="25"/>
  <c r="I53" i="25" s="1"/>
  <c r="D54" i="25"/>
  <c r="E54" i="25"/>
  <c r="D56" i="6"/>
  <c r="E56" i="6"/>
  <c r="G49" i="31"/>
  <c r="I49" i="31" s="1"/>
  <c r="D50" i="31"/>
  <c r="E50" i="31"/>
  <c r="F58" i="7"/>
  <c r="H58" i="7" s="1"/>
  <c r="B58" i="7"/>
  <c r="G52" i="23"/>
  <c r="I52" i="23" s="1"/>
  <c r="D53" i="23"/>
  <c r="E53" i="23"/>
  <c r="F45" i="40"/>
  <c r="H45" i="40" s="1"/>
  <c r="B45" i="40"/>
  <c r="G46" i="37"/>
  <c r="I46" i="37" s="1"/>
  <c r="D47" i="37"/>
  <c r="G50" i="28"/>
  <c r="I50" i="28" s="1"/>
  <c r="D51" i="28"/>
  <c r="E51" i="28"/>
  <c r="I44" i="43"/>
  <c r="F46" i="39"/>
  <c r="H46" i="39" s="1"/>
  <c r="B46" i="39"/>
  <c r="H46" i="38"/>
  <c r="I46" i="38" s="1"/>
  <c r="D47" i="38"/>
  <c r="E47" i="38"/>
  <c r="B45" i="41"/>
  <c r="F45" i="41"/>
  <c r="H45" i="41" s="1"/>
  <c r="F54" i="22"/>
  <c r="G54" i="22" s="1"/>
  <c r="B54" i="22"/>
  <c r="G45" i="42"/>
  <c r="I45" i="42" s="1"/>
  <c r="D46" i="42"/>
  <c r="E46" i="42"/>
  <c r="G44" i="46"/>
  <c r="I44" i="46" s="1"/>
  <c r="D45" i="46"/>
  <c r="E45" i="46"/>
  <c r="F45" i="43"/>
  <c r="H45" i="43" s="1"/>
  <c r="B45" i="43"/>
  <c r="I45" i="39"/>
  <c r="G54" i="51" l="1"/>
  <c r="I50" i="27"/>
  <c r="D51" i="27"/>
  <c r="E51" i="27"/>
  <c r="I54" i="51"/>
  <c r="I53" i="51"/>
  <c r="E55" i="51"/>
  <c r="F55" i="51" s="1"/>
  <c r="D56" i="51" s="1"/>
  <c r="B55" i="51"/>
  <c r="G48" i="52"/>
  <c r="E49" i="52"/>
  <c r="D49" i="52"/>
  <c r="G52" i="24"/>
  <c r="I52" i="24" s="1"/>
  <c r="F55" i="4"/>
  <c r="H55" i="4" s="1"/>
  <c r="B55" i="4"/>
  <c r="E56" i="8"/>
  <c r="H55" i="8"/>
  <c r="I55" i="8" s="1"/>
  <c r="D53" i="24"/>
  <c r="B53" i="24" s="1"/>
  <c r="D56" i="8"/>
  <c r="D51" i="29"/>
  <c r="B51" i="29" s="1"/>
  <c r="F44" i="50"/>
  <c r="I49" i="45"/>
  <c r="E53" i="24"/>
  <c r="H50" i="44"/>
  <c r="I50" i="44" s="1"/>
  <c r="D59" i="11"/>
  <c r="E59" i="11" s="1"/>
  <c r="G58" i="11"/>
  <c r="I58" i="11" s="1"/>
  <c r="E51" i="29"/>
  <c r="I54" i="3"/>
  <c r="H50" i="29"/>
  <c r="I50" i="29" s="1"/>
  <c r="I44" i="52"/>
  <c r="D51" i="45"/>
  <c r="B51" i="45" s="1"/>
  <c r="B56" i="5"/>
  <c r="F56" i="5"/>
  <c r="G56" i="5" s="1"/>
  <c r="H50" i="45"/>
  <c r="I50" i="45" s="1"/>
  <c r="G48" i="30"/>
  <c r="I48" i="30" s="1"/>
  <c r="D51" i="44"/>
  <c r="E51" i="44"/>
  <c r="E49" i="30"/>
  <c r="D49" i="30"/>
  <c r="I58" i="10"/>
  <c r="H56" i="9"/>
  <c r="I56" i="9" s="1"/>
  <c r="E59" i="10"/>
  <c r="F59" i="10" s="1"/>
  <c r="G59" i="10" s="1"/>
  <c r="B59" i="10"/>
  <c r="F50" i="31"/>
  <c r="H50" i="31" s="1"/>
  <c r="D57" i="9"/>
  <c r="E57" i="9"/>
  <c r="F55" i="3"/>
  <c r="B55" i="3"/>
  <c r="G58" i="7"/>
  <c r="I58" i="7" s="1"/>
  <c r="B50" i="31"/>
  <c r="F56" i="6"/>
  <c r="G56" i="6" s="1"/>
  <c r="B56" i="6"/>
  <c r="B54" i="25"/>
  <c r="F54" i="25"/>
  <c r="H54" i="25" s="1"/>
  <c r="D59" i="7"/>
  <c r="E59" i="7" s="1"/>
  <c r="F53" i="23"/>
  <c r="G53" i="23" s="1"/>
  <c r="B53" i="23"/>
  <c r="B46" i="42"/>
  <c r="F46" i="42"/>
  <c r="G46" i="42" s="1"/>
  <c r="D46" i="41"/>
  <c r="E46" i="41"/>
  <c r="B45" i="46"/>
  <c r="F45" i="46"/>
  <c r="H54" i="22"/>
  <c r="I54" i="22" s="1"/>
  <c r="D55" i="22"/>
  <c r="E55" i="22"/>
  <c r="F47" i="38"/>
  <c r="D48" i="38" s="1"/>
  <c r="B47" i="38"/>
  <c r="E47" i="37"/>
  <c r="F47" i="37" s="1"/>
  <c r="B47" i="37"/>
  <c r="E51" i="45"/>
  <c r="G45" i="40"/>
  <c r="I45" i="40" s="1"/>
  <c r="D46" i="40"/>
  <c r="E46" i="40"/>
  <c r="G45" i="43"/>
  <c r="I45" i="43" s="1"/>
  <c r="D46" i="43"/>
  <c r="G46" i="39"/>
  <c r="I46" i="39" s="1"/>
  <c r="F51" i="28"/>
  <c r="G51" i="28" s="1"/>
  <c r="B51" i="28"/>
  <c r="D47" i="39"/>
  <c r="E47" i="39"/>
  <c r="G45" i="41"/>
  <c r="I45" i="41" s="1"/>
  <c r="G55" i="51" l="1"/>
  <c r="H55" i="51"/>
  <c r="I55" i="51" s="1"/>
  <c r="B51" i="27"/>
  <c r="F51" i="27"/>
  <c r="H51" i="27"/>
  <c r="G51" i="27"/>
  <c r="F59" i="11"/>
  <c r="H59" i="11" s="1"/>
  <c r="E56" i="51"/>
  <c r="F56" i="51" s="1"/>
  <c r="B56" i="51"/>
  <c r="G55" i="4"/>
  <c r="I55" i="4" s="1"/>
  <c r="F56" i="8"/>
  <c r="H56" i="8" s="1"/>
  <c r="F49" i="52"/>
  <c r="H49" i="52" s="1"/>
  <c r="F53" i="24"/>
  <c r="H53" i="24" s="1"/>
  <c r="D56" i="4"/>
  <c r="E56" i="4"/>
  <c r="B56" i="8"/>
  <c r="F51" i="29"/>
  <c r="H51" i="29" s="1"/>
  <c r="D45" i="50"/>
  <c r="G44" i="50"/>
  <c r="H44" i="50"/>
  <c r="E45" i="50"/>
  <c r="F51" i="45"/>
  <c r="G51" i="45" s="1"/>
  <c r="B59" i="11"/>
  <c r="B45" i="52"/>
  <c r="H56" i="5"/>
  <c r="E57" i="5"/>
  <c r="D57" i="5"/>
  <c r="H59" i="10"/>
  <c r="I59" i="10" s="1"/>
  <c r="F51" i="44"/>
  <c r="G51" i="44" s="1"/>
  <c r="B51" i="44"/>
  <c r="F49" i="30"/>
  <c r="H49" i="30" s="1"/>
  <c r="B49" i="30"/>
  <c r="G50" i="31"/>
  <c r="I50" i="31" s="1"/>
  <c r="E51" i="31"/>
  <c r="D60" i="10"/>
  <c r="E60" i="10" s="1"/>
  <c r="F60" i="10" s="1"/>
  <c r="D51" i="31"/>
  <c r="B51" i="31" s="1"/>
  <c r="F57" i="9"/>
  <c r="D58" i="9" s="1"/>
  <c r="G54" i="25"/>
  <c r="I54" i="25" s="1"/>
  <c r="B57" i="9"/>
  <c r="G55" i="3"/>
  <c r="D56" i="3"/>
  <c r="E56" i="3"/>
  <c r="H55" i="3"/>
  <c r="H53" i="23"/>
  <c r="I53" i="23" s="1"/>
  <c r="D55" i="25"/>
  <c r="E55" i="25"/>
  <c r="D57" i="6"/>
  <c r="E57" i="6"/>
  <c r="H56" i="6"/>
  <c r="I56" i="6" s="1"/>
  <c r="F59" i="7"/>
  <c r="G59" i="7" s="1"/>
  <c r="B59" i="7"/>
  <c r="G47" i="38"/>
  <c r="E54" i="23"/>
  <c r="D54" i="23"/>
  <c r="H47" i="37"/>
  <c r="D48" i="37"/>
  <c r="G47" i="37"/>
  <c r="H45" i="46"/>
  <c r="D46" i="46"/>
  <c r="E46" i="46"/>
  <c r="F46" i="41"/>
  <c r="H46" i="41" s="1"/>
  <c r="B46" i="41"/>
  <c r="F47" i="39"/>
  <c r="B47" i="39"/>
  <c r="H46" i="42"/>
  <c r="I46" i="42" s="1"/>
  <c r="D47" i="42"/>
  <c r="E47" i="42"/>
  <c r="E48" i="38"/>
  <c r="F48" i="38" s="1"/>
  <c r="B48" i="38"/>
  <c r="H51" i="28"/>
  <c r="I51" i="28" s="1"/>
  <c r="D52" i="28"/>
  <c r="E52" i="28"/>
  <c r="E46" i="43"/>
  <c r="F46" i="43" s="1"/>
  <c r="H46" i="43" s="1"/>
  <c r="B46" i="43"/>
  <c r="F55" i="22"/>
  <c r="G55" i="22" s="1"/>
  <c r="B55" i="22"/>
  <c r="B46" i="40"/>
  <c r="F46" i="40"/>
  <c r="H46" i="40" s="1"/>
  <c r="H47" i="38"/>
  <c r="G45" i="46"/>
  <c r="D60" i="11" l="1"/>
  <c r="E60" i="11" s="1"/>
  <c r="F60" i="11" s="1"/>
  <c r="G59" i="11"/>
  <c r="I59" i="11" s="1"/>
  <c r="G56" i="51"/>
  <c r="H56" i="51"/>
  <c r="I56" i="51" s="1"/>
  <c r="I51" i="27"/>
  <c r="E52" i="27"/>
  <c r="D52" i="27"/>
  <c r="G56" i="8"/>
  <c r="I56" i="8" s="1"/>
  <c r="G49" i="52"/>
  <c r="D57" i="51"/>
  <c r="E57" i="51" s="1"/>
  <c r="F57" i="51" s="1"/>
  <c r="D58" i="51" s="1"/>
  <c r="E57" i="8"/>
  <c r="E50" i="52"/>
  <c r="D57" i="8"/>
  <c r="B57" i="8" s="1"/>
  <c r="D50" i="52"/>
  <c r="G53" i="24"/>
  <c r="I53" i="24" s="1"/>
  <c r="D54" i="24"/>
  <c r="B54" i="24" s="1"/>
  <c r="D52" i="29"/>
  <c r="B52" i="29" s="1"/>
  <c r="E52" i="29"/>
  <c r="E54" i="24"/>
  <c r="F45" i="50"/>
  <c r="D46" i="50" s="1"/>
  <c r="B46" i="50" s="1"/>
  <c r="F56" i="4"/>
  <c r="H56" i="4" s="1"/>
  <c r="B56" i="4"/>
  <c r="G51" i="29"/>
  <c r="I51" i="29" s="1"/>
  <c r="I44" i="50"/>
  <c r="D52" i="45"/>
  <c r="B52" i="45" s="1"/>
  <c r="H51" i="45"/>
  <c r="I51" i="45" s="1"/>
  <c r="B45" i="50"/>
  <c r="B57" i="5"/>
  <c r="F57" i="5"/>
  <c r="H51" i="44"/>
  <c r="I51" i="44" s="1"/>
  <c r="E52" i="44"/>
  <c r="D52" i="44"/>
  <c r="G49" i="30"/>
  <c r="I49" i="30" s="1"/>
  <c r="D50" i="30"/>
  <c r="E50" i="30"/>
  <c r="F51" i="31"/>
  <c r="H51" i="31" s="1"/>
  <c r="D61" i="10"/>
  <c r="E61" i="10" s="1"/>
  <c r="F61" i="10" s="1"/>
  <c r="B60" i="10"/>
  <c r="H60" i="10"/>
  <c r="G60" i="10"/>
  <c r="H57" i="9"/>
  <c r="E58" i="9"/>
  <c r="F58" i="9" s="1"/>
  <c r="G58" i="9" s="1"/>
  <c r="G57" i="9"/>
  <c r="B58" i="9"/>
  <c r="F56" i="3"/>
  <c r="H56" i="3" s="1"/>
  <c r="B56" i="3"/>
  <c r="I55" i="3"/>
  <c r="F55" i="25"/>
  <c r="G55" i="25" s="1"/>
  <c r="B55" i="25"/>
  <c r="G46" i="40"/>
  <c r="I46" i="40" s="1"/>
  <c r="F57" i="6"/>
  <c r="H57" i="6" s="1"/>
  <c r="B57" i="6"/>
  <c r="D60" i="7"/>
  <c r="E60" i="7" s="1"/>
  <c r="F60" i="7" s="1"/>
  <c r="F46" i="46"/>
  <c r="E47" i="46" s="1"/>
  <c r="H59" i="7"/>
  <c r="I59" i="7" s="1"/>
  <c r="I45" i="46"/>
  <c r="I47" i="38"/>
  <c r="F54" i="23"/>
  <c r="H54" i="23" s="1"/>
  <c r="B54" i="23"/>
  <c r="I47" i="37"/>
  <c r="H48" i="38"/>
  <c r="D49" i="38"/>
  <c r="G48" i="38"/>
  <c r="E52" i="45"/>
  <c r="B47" i="42"/>
  <c r="F47" i="42"/>
  <c r="H47" i="42" s="1"/>
  <c r="G46" i="43"/>
  <c r="I46" i="43" s="1"/>
  <c r="D47" i="43"/>
  <c r="E47" i="43"/>
  <c r="G60" i="11"/>
  <c r="D61" i="11"/>
  <c r="G46" i="41"/>
  <c r="I46" i="41" s="1"/>
  <c r="D47" i="41"/>
  <c r="B46" i="46"/>
  <c r="B60" i="11"/>
  <c r="H60" i="11"/>
  <c r="H47" i="39"/>
  <c r="D48" i="39"/>
  <c r="E48" i="39"/>
  <c r="H55" i="22"/>
  <c r="I55" i="22" s="1"/>
  <c r="D56" i="22"/>
  <c r="E56" i="22"/>
  <c r="E48" i="37"/>
  <c r="F48" i="37" s="1"/>
  <c r="B48" i="37"/>
  <c r="D47" i="40"/>
  <c r="E47" i="40"/>
  <c r="F52" i="28"/>
  <c r="B52" i="28"/>
  <c r="G47" i="39"/>
  <c r="B52" i="27" l="1"/>
  <c r="F52" i="27"/>
  <c r="H52" i="27" s="1"/>
  <c r="F54" i="24"/>
  <c r="H54" i="24" s="1"/>
  <c r="F50" i="52"/>
  <c r="D51" i="52" s="1"/>
  <c r="E58" i="51"/>
  <c r="F58" i="51"/>
  <c r="D59" i="51" s="1"/>
  <c r="B58" i="51"/>
  <c r="F57" i="8"/>
  <c r="H57" i="8" s="1"/>
  <c r="F52" i="29"/>
  <c r="H52" i="29" s="1"/>
  <c r="B57" i="51"/>
  <c r="G57" i="51"/>
  <c r="H57" i="51"/>
  <c r="G56" i="4"/>
  <c r="I56" i="4" s="1"/>
  <c r="E53" i="29"/>
  <c r="H45" i="50"/>
  <c r="G45" i="50"/>
  <c r="E46" i="50"/>
  <c r="F46" i="50" s="1"/>
  <c r="G46" i="50" s="1"/>
  <c r="E57" i="4"/>
  <c r="D57" i="4"/>
  <c r="F52" i="45"/>
  <c r="H52" i="45" s="1"/>
  <c r="I45" i="52"/>
  <c r="B46" i="52"/>
  <c r="D55" i="24"/>
  <c r="B55" i="24" s="1"/>
  <c r="G57" i="5"/>
  <c r="D58" i="5"/>
  <c r="H57" i="5"/>
  <c r="E52" i="31"/>
  <c r="D52" i="31"/>
  <c r="F52" i="44"/>
  <c r="G52" i="44" s="1"/>
  <c r="B52" i="44"/>
  <c r="G51" i="31"/>
  <c r="I51" i="31" s="1"/>
  <c r="B50" i="30"/>
  <c r="F50" i="30"/>
  <c r="G50" i="30" s="1"/>
  <c r="I57" i="9"/>
  <c r="D62" i="10"/>
  <c r="B62" i="10" s="1"/>
  <c r="I60" i="10"/>
  <c r="B61" i="10"/>
  <c r="G61" i="10"/>
  <c r="H61" i="10"/>
  <c r="G57" i="8"/>
  <c r="I57" i="8" s="1"/>
  <c r="H58" i="9"/>
  <c r="I58" i="9" s="1"/>
  <c r="D59" i="9"/>
  <c r="G46" i="46"/>
  <c r="H46" i="46"/>
  <c r="D47" i="46"/>
  <c r="F47" i="46" s="1"/>
  <c r="H47" i="46" s="1"/>
  <c r="I47" i="39"/>
  <c r="G56" i="3"/>
  <c r="I56" i="3" s="1"/>
  <c r="D57" i="3"/>
  <c r="E57" i="3" s="1"/>
  <c r="G57" i="6"/>
  <c r="I57" i="6" s="1"/>
  <c r="D58" i="6"/>
  <c r="E58" i="6" s="1"/>
  <c r="I60" i="11"/>
  <c r="H55" i="25"/>
  <c r="I55" i="25" s="1"/>
  <c r="D56" i="25"/>
  <c r="E56" i="25"/>
  <c r="G60" i="7"/>
  <c r="D61" i="7"/>
  <c r="E61" i="7" s="1"/>
  <c r="F61" i="7" s="1"/>
  <c r="D62" i="7" s="1"/>
  <c r="B60" i="7"/>
  <c r="H60" i="7"/>
  <c r="G54" i="23"/>
  <c r="I54" i="23" s="1"/>
  <c r="D55" i="23"/>
  <c r="E55" i="23"/>
  <c r="I48" i="38"/>
  <c r="G48" i="37"/>
  <c r="D49" i="37"/>
  <c r="E49" i="37"/>
  <c r="H48" i="37"/>
  <c r="E49" i="38"/>
  <c r="F49" i="38" s="1"/>
  <c r="G49" i="38" s="1"/>
  <c r="B49" i="38"/>
  <c r="G52" i="28"/>
  <c r="D53" i="28"/>
  <c r="E53" i="28"/>
  <c r="F47" i="40"/>
  <c r="B47" i="40"/>
  <c r="E47" i="41"/>
  <c r="F47" i="41" s="1"/>
  <c r="B47" i="41"/>
  <c r="B47" i="43"/>
  <c r="F47" i="43"/>
  <c r="H47" i="43" s="1"/>
  <c r="H52" i="28"/>
  <c r="E61" i="11"/>
  <c r="F61" i="11" s="1"/>
  <c r="B61" i="11"/>
  <c r="G47" i="42"/>
  <c r="I47" i="42" s="1"/>
  <c r="D48" i="42"/>
  <c r="E48" i="42"/>
  <c r="B48" i="39"/>
  <c r="F48" i="39"/>
  <c r="G48" i="39" s="1"/>
  <c r="B56" i="22"/>
  <c r="F56" i="22"/>
  <c r="G56" i="22" s="1"/>
  <c r="G54" i="24" l="1"/>
  <c r="I54" i="24" s="1"/>
  <c r="E55" i="24"/>
  <c r="I57" i="51"/>
  <c r="H58" i="51"/>
  <c r="G52" i="27"/>
  <c r="I52" i="27" s="1"/>
  <c r="D53" i="27"/>
  <c r="D53" i="29"/>
  <c r="G58" i="51"/>
  <c r="I58" i="51" s="1"/>
  <c r="G50" i="52"/>
  <c r="E51" i="52"/>
  <c r="F51" i="52" s="1"/>
  <c r="H50" i="52"/>
  <c r="G52" i="29"/>
  <c r="I52" i="29" s="1"/>
  <c r="D58" i="8"/>
  <c r="E58" i="8" s="1"/>
  <c r="F58" i="8" s="1"/>
  <c r="D59" i="8" s="1"/>
  <c r="E59" i="51"/>
  <c r="F59" i="51" s="1"/>
  <c r="B59" i="51"/>
  <c r="I45" i="50"/>
  <c r="D47" i="50"/>
  <c r="B47" i="50" s="1"/>
  <c r="G52" i="45"/>
  <c r="E47" i="50"/>
  <c r="H46" i="50"/>
  <c r="I46" i="50" s="1"/>
  <c r="D53" i="45"/>
  <c r="B53" i="45" s="1"/>
  <c r="B57" i="4"/>
  <c r="F57" i="4"/>
  <c r="H57" i="4" s="1"/>
  <c r="I46" i="52"/>
  <c r="F55" i="24"/>
  <c r="H55" i="24" s="1"/>
  <c r="F52" i="31"/>
  <c r="G52" i="31" s="1"/>
  <c r="B47" i="52"/>
  <c r="E58" i="5"/>
  <c r="F58" i="5" s="1"/>
  <c r="B58" i="5"/>
  <c r="B52" i="31"/>
  <c r="E62" i="10"/>
  <c r="F62" i="10" s="1"/>
  <c r="G62" i="10" s="1"/>
  <c r="H52" i="44"/>
  <c r="I52" i="44" s="1"/>
  <c r="D53" i="44"/>
  <c r="E53" i="44"/>
  <c r="H50" i="30"/>
  <c r="I50" i="30" s="1"/>
  <c r="I61" i="10"/>
  <c r="D51" i="30"/>
  <c r="E51" i="30"/>
  <c r="I46" i="46"/>
  <c r="B47" i="46"/>
  <c r="E59" i="9"/>
  <c r="F59" i="9" s="1"/>
  <c r="H59" i="9" s="1"/>
  <c r="B59" i="9"/>
  <c r="B58" i="8"/>
  <c r="G47" i="43"/>
  <c r="I47" i="43" s="1"/>
  <c r="B57" i="3"/>
  <c r="F57" i="3"/>
  <c r="H57" i="3" s="1"/>
  <c r="I60" i="7"/>
  <c r="B58" i="6"/>
  <c r="F58" i="6"/>
  <c r="G58" i="6" s="1"/>
  <c r="B56" i="25"/>
  <c r="F56" i="25"/>
  <c r="H56" i="25" s="1"/>
  <c r="E62" i="7"/>
  <c r="F62" i="7" s="1"/>
  <c r="D63" i="7" s="1"/>
  <c r="B62" i="7"/>
  <c r="B61" i="7"/>
  <c r="H61" i="7"/>
  <c r="G61" i="7"/>
  <c r="G47" i="46"/>
  <c r="I47" i="46" s="1"/>
  <c r="I52" i="45"/>
  <c r="B55" i="23"/>
  <c r="F55" i="23"/>
  <c r="H55" i="23" s="1"/>
  <c r="H47" i="41"/>
  <c r="D48" i="41"/>
  <c r="E48" i="41"/>
  <c r="G47" i="41"/>
  <c r="H61" i="11"/>
  <c r="D62" i="11"/>
  <c r="E62" i="11" s="1"/>
  <c r="F62" i="11" s="1"/>
  <c r="G61" i="11"/>
  <c r="F49" i="37"/>
  <c r="G49" i="37" s="1"/>
  <c r="B49" i="37"/>
  <c r="G47" i="40"/>
  <c r="D48" i="40"/>
  <c r="H56" i="22"/>
  <c r="I56" i="22" s="1"/>
  <c r="D57" i="22"/>
  <c r="E57" i="22" s="1"/>
  <c r="I52" i="28"/>
  <c r="D48" i="43"/>
  <c r="E48" i="43"/>
  <c r="H47" i="40"/>
  <c r="I48" i="37"/>
  <c r="H48" i="39"/>
  <c r="I48" i="39" s="1"/>
  <c r="D49" i="39"/>
  <c r="E49" i="39"/>
  <c r="H49" i="38"/>
  <c r="I49" i="38" s="1"/>
  <c r="D50" i="38"/>
  <c r="E50" i="38"/>
  <c r="E53" i="45"/>
  <c r="F48" i="42"/>
  <c r="D49" i="42" s="1"/>
  <c r="B48" i="42"/>
  <c r="D48" i="46"/>
  <c r="E48" i="46"/>
  <c r="B53" i="28"/>
  <c r="F53" i="28"/>
  <c r="G53" i="28" s="1"/>
  <c r="F53" i="29" l="1"/>
  <c r="B53" i="29"/>
  <c r="E53" i="27"/>
  <c r="F53" i="27" s="1"/>
  <c r="H53" i="27" s="1"/>
  <c r="B53" i="27"/>
  <c r="D60" i="51"/>
  <c r="E60" i="51" s="1"/>
  <c r="F60" i="51" s="1"/>
  <c r="G59" i="51"/>
  <c r="H59" i="51"/>
  <c r="G51" i="52"/>
  <c r="D52" i="52"/>
  <c r="E52" i="52"/>
  <c r="H51" i="52"/>
  <c r="F47" i="50"/>
  <c r="H47" i="50" s="1"/>
  <c r="D56" i="24"/>
  <c r="B56" i="24" s="1"/>
  <c r="F53" i="45"/>
  <c r="H53" i="45" s="1"/>
  <c r="E56" i="24"/>
  <c r="G57" i="4"/>
  <c r="I57" i="4" s="1"/>
  <c r="D58" i="4"/>
  <c r="E53" i="31"/>
  <c r="H62" i="10"/>
  <c r="I62" i="10" s="1"/>
  <c r="G55" i="24"/>
  <c r="I55" i="24" s="1"/>
  <c r="D53" i="31"/>
  <c r="B53" i="31" s="1"/>
  <c r="H52" i="31"/>
  <c r="I52" i="31" s="1"/>
  <c r="G58" i="5"/>
  <c r="D59" i="5"/>
  <c r="H58" i="5"/>
  <c r="I47" i="52"/>
  <c r="D63" i="10"/>
  <c r="E63" i="10" s="1"/>
  <c r="F63" i="10" s="1"/>
  <c r="D64" i="10" s="1"/>
  <c r="E64" i="10" s="1"/>
  <c r="F64" i="10" s="1"/>
  <c r="D65" i="10" s="1"/>
  <c r="E65" i="10" s="1"/>
  <c r="F65" i="10" s="1"/>
  <c r="F53" i="44"/>
  <c r="G53" i="44" s="1"/>
  <c r="B53" i="44"/>
  <c r="F51" i="30"/>
  <c r="H51" i="30" s="1"/>
  <c r="B51" i="30"/>
  <c r="H58" i="8"/>
  <c r="G58" i="8"/>
  <c r="E59" i="8"/>
  <c r="F59" i="8" s="1"/>
  <c r="D60" i="8" s="1"/>
  <c r="B59" i="8"/>
  <c r="G59" i="9"/>
  <c r="I59" i="9" s="1"/>
  <c r="D60" i="9"/>
  <c r="G57" i="3"/>
  <c r="I57" i="3" s="1"/>
  <c r="D58" i="3"/>
  <c r="E58" i="3" s="1"/>
  <c r="G56" i="25"/>
  <c r="I56" i="25" s="1"/>
  <c r="D57" i="25"/>
  <c r="E57" i="25"/>
  <c r="G62" i="7"/>
  <c r="H62" i="7"/>
  <c r="H58" i="6"/>
  <c r="I58" i="6" s="1"/>
  <c r="D59" i="6"/>
  <c r="G55" i="23"/>
  <c r="I55" i="23" s="1"/>
  <c r="I61" i="7"/>
  <c r="E63" i="7"/>
  <c r="F63" i="7" s="1"/>
  <c r="D64" i="7" s="1"/>
  <c r="B63" i="7"/>
  <c r="E56" i="23"/>
  <c r="D56" i="23"/>
  <c r="G48" i="42"/>
  <c r="I47" i="40"/>
  <c r="G53" i="45"/>
  <c r="D54" i="45"/>
  <c r="H62" i="11"/>
  <c r="D63" i="11"/>
  <c r="E63" i="11" s="1"/>
  <c r="F63" i="11" s="1"/>
  <c r="H53" i="28"/>
  <c r="I53" i="28" s="1"/>
  <c r="D54" i="28"/>
  <c r="E54" i="28"/>
  <c r="H48" i="42"/>
  <c r="E49" i="42"/>
  <c r="F49" i="42" s="1"/>
  <c r="B49" i="42"/>
  <c r="B48" i="43"/>
  <c r="F48" i="43"/>
  <c r="G48" i="43" s="1"/>
  <c r="I61" i="11"/>
  <c r="B62" i="11"/>
  <c r="G62" i="11"/>
  <c r="F48" i="46"/>
  <c r="B48" i="46"/>
  <c r="B49" i="39"/>
  <c r="F49" i="39"/>
  <c r="H49" i="39" s="1"/>
  <c r="I47" i="41"/>
  <c r="F57" i="22"/>
  <c r="G57" i="22" s="1"/>
  <c r="E48" i="40"/>
  <c r="F48" i="40" s="1"/>
  <c r="B48" i="40"/>
  <c r="B57" i="22"/>
  <c r="B48" i="41"/>
  <c r="F48" i="41"/>
  <c r="G48" i="41" s="1"/>
  <c r="B50" i="38"/>
  <c r="F50" i="38"/>
  <c r="H50" i="38" s="1"/>
  <c r="H49" i="37"/>
  <c r="I49" i="37" s="1"/>
  <c r="D50" i="37"/>
  <c r="E50" i="37"/>
  <c r="B60" i="51" l="1"/>
  <c r="G53" i="27"/>
  <c r="I53" i="27" s="1"/>
  <c r="D54" i="27"/>
  <c r="G47" i="50"/>
  <c r="I47" i="50" s="1"/>
  <c r="I59" i="51"/>
  <c r="H53" i="29"/>
  <c r="I53" i="29" s="1"/>
  <c r="D54" i="29"/>
  <c r="E54" i="29"/>
  <c r="G53" i="29"/>
  <c r="F52" i="52"/>
  <c r="H52" i="52" s="1"/>
  <c r="G60" i="51"/>
  <c r="H60" i="51"/>
  <c r="D48" i="50"/>
  <c r="B48" i="50" s="1"/>
  <c r="E48" i="50"/>
  <c r="D61" i="51"/>
  <c r="E61" i="51" s="1"/>
  <c r="F61" i="51" s="1"/>
  <c r="D62" i="51" s="1"/>
  <c r="F56" i="24"/>
  <c r="G56" i="24" s="1"/>
  <c r="E58" i="4"/>
  <c r="F58" i="4" s="1"/>
  <c r="H58" i="4" s="1"/>
  <c r="B58" i="4"/>
  <c r="F53" i="31"/>
  <c r="G53" i="31" s="1"/>
  <c r="B64" i="10"/>
  <c r="B63" i="10"/>
  <c r="H64" i="10"/>
  <c r="G63" i="10"/>
  <c r="B48" i="52"/>
  <c r="G64" i="10"/>
  <c r="H53" i="44"/>
  <c r="I53" i="44" s="1"/>
  <c r="E59" i="5"/>
  <c r="F59" i="5" s="1"/>
  <c r="H59" i="5" s="1"/>
  <c r="B59" i="5"/>
  <c r="H63" i="10"/>
  <c r="D54" i="44"/>
  <c r="E54" i="44"/>
  <c r="G51" i="30"/>
  <c r="I51" i="30" s="1"/>
  <c r="D52" i="30"/>
  <c r="E52" i="30"/>
  <c r="G59" i="8"/>
  <c r="I58" i="8"/>
  <c r="H59" i="8"/>
  <c r="E60" i="9"/>
  <c r="F60" i="9" s="1"/>
  <c r="H60" i="9" s="1"/>
  <c r="B60" i="9"/>
  <c r="E60" i="8"/>
  <c r="F60" i="8" s="1"/>
  <c r="H60" i="8" s="1"/>
  <c r="B60" i="8"/>
  <c r="I62" i="7"/>
  <c r="F58" i="3"/>
  <c r="B58" i="3"/>
  <c r="I48" i="42"/>
  <c r="E59" i="6"/>
  <c r="F59" i="6" s="1"/>
  <c r="D60" i="6" s="1"/>
  <c r="B59" i="6"/>
  <c r="F57" i="25"/>
  <c r="G57" i="25" s="1"/>
  <c r="B57" i="25"/>
  <c r="G63" i="7"/>
  <c r="F54" i="28"/>
  <c r="H54" i="28" s="1"/>
  <c r="H63" i="7"/>
  <c r="E64" i="7"/>
  <c r="F64" i="7" s="1"/>
  <c r="H64" i="7" s="1"/>
  <c r="B64" i="7"/>
  <c r="B56" i="23"/>
  <c r="F56" i="23"/>
  <c r="G56" i="23" s="1"/>
  <c r="G49" i="42"/>
  <c r="H49" i="42"/>
  <c r="G49" i="39"/>
  <c r="I49" i="39" s="1"/>
  <c r="G48" i="40"/>
  <c r="D49" i="40"/>
  <c r="E49" i="40"/>
  <c r="H48" i="40"/>
  <c r="H65" i="10"/>
  <c r="D66" i="10"/>
  <c r="E66" i="10" s="1"/>
  <c r="F66" i="10" s="1"/>
  <c r="G50" i="38"/>
  <c r="I50" i="38" s="1"/>
  <c r="D51" i="38"/>
  <c r="B54" i="28"/>
  <c r="B63" i="11"/>
  <c r="H63" i="11"/>
  <c r="D49" i="46"/>
  <c r="E49" i="46"/>
  <c r="G63" i="11"/>
  <c r="D64" i="11"/>
  <c r="E64" i="11" s="1"/>
  <c r="F64" i="11" s="1"/>
  <c r="D50" i="39"/>
  <c r="E50" i="39"/>
  <c r="I62" i="11"/>
  <c r="H48" i="43"/>
  <c r="I48" i="43" s="1"/>
  <c r="D49" i="43"/>
  <c r="E49" i="43"/>
  <c r="F50" i="37"/>
  <c r="G50" i="37" s="1"/>
  <c r="B50" i="37"/>
  <c r="I53" i="45"/>
  <c r="H48" i="41"/>
  <c r="I48" i="41" s="1"/>
  <c r="D49" i="41"/>
  <c r="E49" i="41"/>
  <c r="G48" i="46"/>
  <c r="D50" i="42"/>
  <c r="E50" i="42"/>
  <c r="E54" i="45"/>
  <c r="F54" i="45" s="1"/>
  <c r="B54" i="45"/>
  <c r="B65" i="10"/>
  <c r="G65" i="10"/>
  <c r="H57" i="22"/>
  <c r="I57" i="22" s="1"/>
  <c r="D58" i="22"/>
  <c r="E58" i="22" s="1"/>
  <c r="H48" i="46"/>
  <c r="E53" i="52" l="1"/>
  <c r="I60" i="51"/>
  <c r="D53" i="52"/>
  <c r="B54" i="29"/>
  <c r="F54" i="29"/>
  <c r="H54" i="29" s="1"/>
  <c r="E54" i="27"/>
  <c r="F54" i="27" s="1"/>
  <c r="G54" i="27" s="1"/>
  <c r="B54" i="27"/>
  <c r="G52" i="52"/>
  <c r="H56" i="24"/>
  <c r="I56" i="24" s="1"/>
  <c r="D57" i="24"/>
  <c r="E57" i="24" s="1"/>
  <c r="F48" i="50"/>
  <c r="G48" i="50"/>
  <c r="E62" i="51"/>
  <c r="B62" i="51"/>
  <c r="F62" i="51"/>
  <c r="D63" i="51" s="1"/>
  <c r="B61" i="51"/>
  <c r="G61" i="51"/>
  <c r="H61" i="51"/>
  <c r="H48" i="50"/>
  <c r="E54" i="31"/>
  <c r="D54" i="31"/>
  <c r="F53" i="52"/>
  <c r="H53" i="52" s="1"/>
  <c r="G58" i="4"/>
  <c r="I58" i="4" s="1"/>
  <c r="D59" i="4"/>
  <c r="H53" i="31"/>
  <c r="I53" i="31" s="1"/>
  <c r="I63" i="10"/>
  <c r="I64" i="10"/>
  <c r="G59" i="5"/>
  <c r="D60" i="5"/>
  <c r="I59" i="8"/>
  <c r="F54" i="44"/>
  <c r="G54" i="44" s="1"/>
  <c r="B54" i="44"/>
  <c r="B52" i="30"/>
  <c r="F52" i="30"/>
  <c r="G52" i="30" s="1"/>
  <c r="H57" i="25"/>
  <c r="I57" i="25" s="1"/>
  <c r="G60" i="8"/>
  <c r="I60" i="8" s="1"/>
  <c r="D61" i="8"/>
  <c r="E61" i="8" s="1"/>
  <c r="F61" i="8" s="1"/>
  <c r="G60" i="9"/>
  <c r="I60" i="9" s="1"/>
  <c r="D61" i="9"/>
  <c r="G58" i="3"/>
  <c r="D59" i="3"/>
  <c r="B57" i="24"/>
  <c r="F57" i="24"/>
  <c r="G57" i="24" s="1"/>
  <c r="H58" i="3"/>
  <c r="D55" i="28"/>
  <c r="G54" i="28"/>
  <c r="I54" i="28" s="1"/>
  <c r="E55" i="28"/>
  <c r="G64" i="7"/>
  <c r="I64" i="7" s="1"/>
  <c r="G59" i="6"/>
  <c r="E60" i="6"/>
  <c r="F60" i="6" s="1"/>
  <c r="G60" i="6" s="1"/>
  <c r="B60" i="6"/>
  <c r="I63" i="7"/>
  <c r="E58" i="25"/>
  <c r="D58" i="25"/>
  <c r="I49" i="42"/>
  <c r="H59" i="6"/>
  <c r="D65" i="7"/>
  <c r="E65" i="7" s="1"/>
  <c r="F65" i="7" s="1"/>
  <c r="D66" i="7" s="1"/>
  <c r="H56" i="23"/>
  <c r="I56" i="23" s="1"/>
  <c r="F49" i="46"/>
  <c r="H49" i="46" s="1"/>
  <c r="I48" i="40"/>
  <c r="D57" i="23"/>
  <c r="E57" i="23" s="1"/>
  <c r="I63" i="11"/>
  <c r="I48" i="46"/>
  <c r="H64" i="11"/>
  <c r="D65" i="11"/>
  <c r="H66" i="10"/>
  <c r="D67" i="10"/>
  <c r="E67" i="10" s="1"/>
  <c r="F67" i="10" s="1"/>
  <c r="G54" i="45"/>
  <c r="D55" i="45"/>
  <c r="H54" i="45"/>
  <c r="E51" i="38"/>
  <c r="F51" i="38" s="1"/>
  <c r="H51" i="38" s="1"/>
  <c r="B51" i="38"/>
  <c r="F50" i="39"/>
  <c r="G50" i="39" s="1"/>
  <c r="B50" i="39"/>
  <c r="B49" i="41"/>
  <c r="F49" i="41"/>
  <c r="H49" i="41" s="1"/>
  <c r="F50" i="42"/>
  <c r="G50" i="42" s="1"/>
  <c r="B50" i="42"/>
  <c r="H50" i="37"/>
  <c r="I50" i="37" s="1"/>
  <c r="D51" i="37"/>
  <c r="B64" i="11"/>
  <c r="G64" i="11"/>
  <c r="B58" i="22"/>
  <c r="F49" i="43"/>
  <c r="G49" i="43" s="1"/>
  <c r="B49" i="43"/>
  <c r="B66" i="10"/>
  <c r="G66" i="10"/>
  <c r="B49" i="40"/>
  <c r="F49" i="40"/>
  <c r="H49" i="40" s="1"/>
  <c r="F58" i="22"/>
  <c r="G58" i="22" s="1"/>
  <c r="B49" i="46"/>
  <c r="I65" i="10"/>
  <c r="F54" i="31" l="1"/>
  <c r="G54" i="31" s="1"/>
  <c r="H54" i="27"/>
  <c r="I54" i="27" s="1"/>
  <c r="D55" i="27"/>
  <c r="I48" i="50"/>
  <c r="G54" i="29"/>
  <c r="I54" i="29" s="1"/>
  <c r="D55" i="29"/>
  <c r="E55" i="29"/>
  <c r="D49" i="50"/>
  <c r="E49" i="50"/>
  <c r="G53" i="52"/>
  <c r="H62" i="51"/>
  <c r="G62" i="51"/>
  <c r="E63" i="51"/>
  <c r="F63" i="51"/>
  <c r="D64" i="51" s="1"/>
  <c r="B63" i="51"/>
  <c r="I61" i="51"/>
  <c r="B54" i="31"/>
  <c r="D54" i="52"/>
  <c r="E54" i="52"/>
  <c r="E59" i="4"/>
  <c r="F59" i="4" s="1"/>
  <c r="G59" i="4" s="1"/>
  <c r="B59" i="4"/>
  <c r="I48" i="52"/>
  <c r="H52" i="30"/>
  <c r="I52" i="30" s="1"/>
  <c r="E60" i="5"/>
  <c r="F60" i="5" s="1"/>
  <c r="H60" i="5" s="1"/>
  <c r="B60" i="5"/>
  <c r="B49" i="52"/>
  <c r="H54" i="44"/>
  <c r="I54" i="44" s="1"/>
  <c r="E55" i="44"/>
  <c r="D55" i="44"/>
  <c r="E53" i="30"/>
  <c r="D53" i="30"/>
  <c r="H60" i="6"/>
  <c r="I60" i="6" s="1"/>
  <c r="F55" i="28"/>
  <c r="H55" i="28" s="1"/>
  <c r="G61" i="8"/>
  <c r="D62" i="8"/>
  <c r="B61" i="8"/>
  <c r="H61" i="8"/>
  <c r="I58" i="3"/>
  <c r="E61" i="9"/>
  <c r="F61" i="9" s="1"/>
  <c r="B61" i="9"/>
  <c r="B55" i="28"/>
  <c r="H57" i="24"/>
  <c r="I57" i="24" s="1"/>
  <c r="D58" i="24"/>
  <c r="E59" i="3"/>
  <c r="F59" i="3" s="1"/>
  <c r="G59" i="3" s="1"/>
  <c r="B59" i="3"/>
  <c r="I59" i="6"/>
  <c r="D55" i="31"/>
  <c r="E55" i="31"/>
  <c r="B58" i="25"/>
  <c r="F58" i="25"/>
  <c r="H58" i="25" s="1"/>
  <c r="I54" i="45"/>
  <c r="H54" i="31"/>
  <c r="I54" i="31" s="1"/>
  <c r="D61" i="6"/>
  <c r="E61" i="6" s="1"/>
  <c r="F61" i="6" s="1"/>
  <c r="I64" i="11"/>
  <c r="E50" i="46"/>
  <c r="D50" i="46"/>
  <c r="B50" i="46" s="1"/>
  <c r="G49" i="46"/>
  <c r="I49" i="46" s="1"/>
  <c r="E66" i="7"/>
  <c r="F66" i="7" s="1"/>
  <c r="D67" i="7" s="1"/>
  <c r="B66" i="7"/>
  <c r="H65" i="7"/>
  <c r="G65" i="7"/>
  <c r="B65" i="7"/>
  <c r="F57" i="23"/>
  <c r="G57" i="23" s="1"/>
  <c r="B57" i="23"/>
  <c r="E55" i="45"/>
  <c r="F55" i="45" s="1"/>
  <c r="B55" i="45"/>
  <c r="G49" i="40"/>
  <c r="I49" i="40" s="1"/>
  <c r="D50" i="40"/>
  <c r="E51" i="37"/>
  <c r="F51" i="37" s="1"/>
  <c r="B51" i="37"/>
  <c r="H50" i="42"/>
  <c r="I50" i="42" s="1"/>
  <c r="D51" i="42"/>
  <c r="E51" i="42"/>
  <c r="G67" i="10"/>
  <c r="D68" i="10"/>
  <c r="E68" i="10" s="1"/>
  <c r="F68" i="10" s="1"/>
  <c r="H49" i="43"/>
  <c r="I49" i="43" s="1"/>
  <c r="D50" i="43"/>
  <c r="B67" i="10"/>
  <c r="H67" i="10"/>
  <c r="G49" i="41"/>
  <c r="I49" i="41" s="1"/>
  <c r="D50" i="41"/>
  <c r="G51" i="38"/>
  <c r="I51" i="38" s="1"/>
  <c r="D52" i="38"/>
  <c r="E52" i="38"/>
  <c r="I66" i="10"/>
  <c r="B65" i="11"/>
  <c r="H58" i="22"/>
  <c r="I58" i="22" s="1"/>
  <c r="D59" i="22"/>
  <c r="E59" i="22" s="1"/>
  <c r="H50" i="39"/>
  <c r="I50" i="39" s="1"/>
  <c r="D51" i="39"/>
  <c r="E51" i="39"/>
  <c r="E65" i="11"/>
  <c r="F65" i="11" s="1"/>
  <c r="G65" i="11" s="1"/>
  <c r="F55" i="29" l="1"/>
  <c r="B55" i="29"/>
  <c r="E55" i="27"/>
  <c r="F55" i="27" s="1"/>
  <c r="D56" i="27" s="1"/>
  <c r="G55" i="27"/>
  <c r="B55" i="27"/>
  <c r="H55" i="27"/>
  <c r="I62" i="51"/>
  <c r="H63" i="51"/>
  <c r="G63" i="51"/>
  <c r="B49" i="50"/>
  <c r="F49" i="50"/>
  <c r="G49" i="50" s="1"/>
  <c r="E64" i="51"/>
  <c r="F64" i="51" s="1"/>
  <c r="H64" i="51" s="1"/>
  <c r="B64" i="51"/>
  <c r="F54" i="52"/>
  <c r="H54" i="52" s="1"/>
  <c r="H59" i="4"/>
  <c r="I59" i="4" s="1"/>
  <c r="D60" i="4"/>
  <c r="I61" i="8"/>
  <c r="G60" i="5"/>
  <c r="D61" i="5"/>
  <c r="I49" i="52"/>
  <c r="D56" i="28"/>
  <c r="E56" i="28" s="1"/>
  <c r="G55" i="28"/>
  <c r="I55" i="28" s="1"/>
  <c r="B55" i="44"/>
  <c r="F55" i="44"/>
  <c r="G55" i="44" s="1"/>
  <c r="F53" i="30"/>
  <c r="B53" i="30"/>
  <c r="I67" i="10"/>
  <c r="G61" i="9"/>
  <c r="D62" i="9"/>
  <c r="H61" i="9"/>
  <c r="E62" i="8"/>
  <c r="F62" i="8" s="1"/>
  <c r="D63" i="8" s="1"/>
  <c r="B62" i="8"/>
  <c r="H59" i="3"/>
  <c r="I59" i="3" s="1"/>
  <c r="D60" i="3"/>
  <c r="E60" i="3" s="1"/>
  <c r="E58" i="24"/>
  <c r="F58" i="24" s="1"/>
  <c r="H58" i="24" s="1"/>
  <c r="B58" i="24"/>
  <c r="I65" i="7"/>
  <c r="D59" i="25"/>
  <c r="E59" i="25" s="1"/>
  <c r="F50" i="46"/>
  <c r="H50" i="46" s="1"/>
  <c r="G61" i="6"/>
  <c r="D62" i="6"/>
  <c r="G58" i="25"/>
  <c r="I58" i="25" s="1"/>
  <c r="B61" i="6"/>
  <c r="H61" i="6"/>
  <c r="F55" i="31"/>
  <c r="B55" i="31"/>
  <c r="H57" i="23"/>
  <c r="I57" i="23" s="1"/>
  <c r="H66" i="7"/>
  <c r="E67" i="7"/>
  <c r="F67" i="7" s="1"/>
  <c r="H67" i="7" s="1"/>
  <c r="B67" i="7"/>
  <c r="G66" i="7"/>
  <c r="D58" i="23"/>
  <c r="E58" i="23" s="1"/>
  <c r="D56" i="45"/>
  <c r="B56" i="45" s="1"/>
  <c r="H55" i="45"/>
  <c r="E50" i="41"/>
  <c r="F50" i="41" s="1"/>
  <c r="B50" i="41"/>
  <c r="E50" i="43"/>
  <c r="F50" i="43" s="1"/>
  <c r="B50" i="43"/>
  <c r="B52" i="38"/>
  <c r="F52" i="38"/>
  <c r="G52" i="38" s="1"/>
  <c r="F51" i="42"/>
  <c r="H51" i="42" s="1"/>
  <c r="B51" i="42"/>
  <c r="B68" i="10"/>
  <c r="G68" i="10"/>
  <c r="E50" i="40"/>
  <c r="F50" i="40" s="1"/>
  <c r="G50" i="40" s="1"/>
  <c r="B50" i="40"/>
  <c r="H51" i="37"/>
  <c r="D52" i="37"/>
  <c r="H68" i="10"/>
  <c r="D69" i="10"/>
  <c r="E69" i="10" s="1"/>
  <c r="F69" i="10" s="1"/>
  <c r="H65" i="11"/>
  <c r="I65" i="11" s="1"/>
  <c r="D66" i="11"/>
  <c r="B51" i="39"/>
  <c r="F51" i="39"/>
  <c r="D52" i="39" s="1"/>
  <c r="G51" i="37"/>
  <c r="F59" i="22"/>
  <c r="H59" i="22" s="1"/>
  <c r="B59" i="22"/>
  <c r="G55" i="45"/>
  <c r="I55" i="27" l="1"/>
  <c r="D55" i="52"/>
  <c r="E55" i="52" s="1"/>
  <c r="E56" i="27"/>
  <c r="F56" i="27"/>
  <c r="B56" i="27"/>
  <c r="H56" i="27"/>
  <c r="H55" i="29"/>
  <c r="E56" i="29"/>
  <c r="D56" i="29"/>
  <c r="G55" i="29"/>
  <c r="H49" i="50"/>
  <c r="I49" i="50" s="1"/>
  <c r="E50" i="50"/>
  <c r="D50" i="50"/>
  <c r="I63" i="51"/>
  <c r="G54" i="52"/>
  <c r="G64" i="51"/>
  <c r="I64" i="51" s="1"/>
  <c r="D65" i="51"/>
  <c r="E65" i="51" s="1"/>
  <c r="F65" i="51" s="1"/>
  <c r="D66" i="51" s="1"/>
  <c r="E56" i="45"/>
  <c r="F56" i="45" s="1"/>
  <c r="G56" i="45" s="1"/>
  <c r="B56" i="28"/>
  <c r="F55" i="52"/>
  <c r="G55" i="52" s="1"/>
  <c r="E60" i="4"/>
  <c r="F60" i="4" s="1"/>
  <c r="D61" i="4" s="1"/>
  <c r="B60" i="4"/>
  <c r="F56" i="28"/>
  <c r="H56" i="28" s="1"/>
  <c r="E61" i="5"/>
  <c r="F61" i="5" s="1"/>
  <c r="H61" i="5" s="1"/>
  <c r="B61" i="5"/>
  <c r="B50" i="52"/>
  <c r="H55" i="44"/>
  <c r="I55" i="44" s="1"/>
  <c r="D56" i="44"/>
  <c r="E56" i="44" s="1"/>
  <c r="G53" i="30"/>
  <c r="D54" i="30"/>
  <c r="E54" i="30"/>
  <c r="H53" i="30"/>
  <c r="G62" i="8"/>
  <c r="I61" i="9"/>
  <c r="H62" i="8"/>
  <c r="E63" i="8"/>
  <c r="F63" i="8" s="1"/>
  <c r="D64" i="8" s="1"/>
  <c r="B63" i="8"/>
  <c r="E62" i="9"/>
  <c r="F62" i="9" s="1"/>
  <c r="B62" i="9"/>
  <c r="I61" i="6"/>
  <c r="I55" i="45"/>
  <c r="G67" i="7"/>
  <c r="I67" i="7" s="1"/>
  <c r="G58" i="24"/>
  <c r="I58" i="24" s="1"/>
  <c r="D59" i="24"/>
  <c r="F60" i="3"/>
  <c r="H60" i="3" s="1"/>
  <c r="B60" i="3"/>
  <c r="B59" i="25"/>
  <c r="F59" i="25"/>
  <c r="H59" i="25" s="1"/>
  <c r="D51" i="46"/>
  <c r="E51" i="46"/>
  <c r="H55" i="31"/>
  <c r="D56" i="31"/>
  <c r="E56" i="31" s="1"/>
  <c r="E62" i="6"/>
  <c r="F62" i="6" s="1"/>
  <c r="B62" i="6"/>
  <c r="G50" i="46"/>
  <c r="I50" i="46" s="1"/>
  <c r="G55" i="31"/>
  <c r="G51" i="39"/>
  <c r="I66" i="7"/>
  <c r="D68" i="7"/>
  <c r="E68" i="7" s="1"/>
  <c r="F68" i="7" s="1"/>
  <c r="B58" i="23"/>
  <c r="F58" i="23"/>
  <c r="H58" i="23" s="1"/>
  <c r="I68" i="10"/>
  <c r="I51" i="37"/>
  <c r="G69" i="10"/>
  <c r="D70" i="10"/>
  <c r="E70" i="10" s="1"/>
  <c r="F70" i="10" s="1"/>
  <c r="B69" i="10"/>
  <c r="H69" i="10"/>
  <c r="G51" i="42"/>
  <c r="I51" i="42" s="1"/>
  <c r="D52" i="42"/>
  <c r="E52" i="42"/>
  <c r="G50" i="43"/>
  <c r="D51" i="43"/>
  <c r="E51" i="43"/>
  <c r="H50" i="41"/>
  <c r="D51" i="41"/>
  <c r="E51" i="41"/>
  <c r="E52" i="37"/>
  <c r="F52" i="37" s="1"/>
  <c r="H52" i="37" s="1"/>
  <c r="B52" i="37"/>
  <c r="B66" i="11"/>
  <c r="E52" i="39"/>
  <c r="F52" i="39" s="1"/>
  <c r="G52" i="39" s="1"/>
  <c r="B52" i="39"/>
  <c r="H52" i="38"/>
  <c r="I52" i="38" s="1"/>
  <c r="D53" i="38"/>
  <c r="H50" i="43"/>
  <c r="G59" i="22"/>
  <c r="I59" i="22" s="1"/>
  <c r="D60" i="22"/>
  <c r="H50" i="40"/>
  <c r="I50" i="40" s="1"/>
  <c r="D51" i="40"/>
  <c r="E51" i="40"/>
  <c r="H51" i="39"/>
  <c r="E66" i="11"/>
  <c r="F66" i="11" s="1"/>
  <c r="G50" i="41"/>
  <c r="B56" i="29" l="1"/>
  <c r="F56" i="29"/>
  <c r="G56" i="27"/>
  <c r="I56" i="27" s="1"/>
  <c r="D57" i="27"/>
  <c r="I55" i="29"/>
  <c r="B50" i="50"/>
  <c r="F50" i="50"/>
  <c r="G50" i="50" s="1"/>
  <c r="E66" i="51"/>
  <c r="F66" i="51" s="1"/>
  <c r="G66" i="51" s="1"/>
  <c r="B66" i="51"/>
  <c r="B65" i="51"/>
  <c r="G65" i="51"/>
  <c r="H65" i="51"/>
  <c r="H60" i="4"/>
  <c r="G60" i="4"/>
  <c r="H55" i="52"/>
  <c r="D56" i="52"/>
  <c r="D57" i="28"/>
  <c r="E57" i="28" s="1"/>
  <c r="F57" i="28" s="1"/>
  <c r="D58" i="28" s="1"/>
  <c r="E58" i="28" s="1"/>
  <c r="G56" i="28"/>
  <c r="I56" i="28" s="1"/>
  <c r="E61" i="4"/>
  <c r="F61" i="4" s="1"/>
  <c r="H61" i="4" s="1"/>
  <c r="B61" i="4"/>
  <c r="G61" i="5"/>
  <c r="D62" i="5"/>
  <c r="I62" i="8"/>
  <c r="B56" i="44"/>
  <c r="F56" i="44"/>
  <c r="H56" i="44" s="1"/>
  <c r="I53" i="30"/>
  <c r="B54" i="30"/>
  <c r="F54" i="30"/>
  <c r="H54" i="30" s="1"/>
  <c r="G63" i="8"/>
  <c r="H63" i="8"/>
  <c r="D63" i="9"/>
  <c r="E63" i="9" s="1"/>
  <c r="F63" i="9" s="1"/>
  <c r="G62" i="9"/>
  <c r="H62" i="9"/>
  <c r="E64" i="8"/>
  <c r="F64" i="8" s="1"/>
  <c r="D65" i="8" s="1"/>
  <c r="B64" i="8"/>
  <c r="H56" i="45"/>
  <c r="I56" i="45" s="1"/>
  <c r="D63" i="6"/>
  <c r="E63" i="6" s="1"/>
  <c r="F63" i="6" s="1"/>
  <c r="G62" i="6"/>
  <c r="H62" i="6"/>
  <c r="G60" i="3"/>
  <c r="I60" i="3" s="1"/>
  <c r="D61" i="3"/>
  <c r="G59" i="25"/>
  <c r="I59" i="25" s="1"/>
  <c r="E59" i="24"/>
  <c r="F59" i="24" s="1"/>
  <c r="B59" i="24"/>
  <c r="D60" i="25"/>
  <c r="B56" i="31"/>
  <c r="F56" i="31"/>
  <c r="G56" i="31" s="1"/>
  <c r="B51" i="46"/>
  <c r="F51" i="46"/>
  <c r="I51" i="39"/>
  <c r="D57" i="45"/>
  <c r="E57" i="45" s="1"/>
  <c r="F57" i="45" s="1"/>
  <c r="I55" i="31"/>
  <c r="H68" i="7"/>
  <c r="B68" i="7"/>
  <c r="G68" i="7"/>
  <c r="D69" i="7"/>
  <c r="E69" i="7" s="1"/>
  <c r="F69" i="7" s="1"/>
  <c r="I50" i="41"/>
  <c r="G58" i="23"/>
  <c r="I58" i="23" s="1"/>
  <c r="D59" i="23"/>
  <c r="E59" i="23" s="1"/>
  <c r="I69" i="10"/>
  <c r="H70" i="10"/>
  <c r="D71" i="10"/>
  <c r="E71" i="10" s="1"/>
  <c r="F71" i="10" s="1"/>
  <c r="E53" i="38"/>
  <c r="F53" i="38" s="1"/>
  <c r="H53" i="38" s="1"/>
  <c r="B53" i="38"/>
  <c r="B51" i="41"/>
  <c r="F51" i="41"/>
  <c r="H51" i="41" s="1"/>
  <c r="E60" i="22"/>
  <c r="F60" i="22" s="1"/>
  <c r="B60" i="22"/>
  <c r="H66" i="11"/>
  <c r="D67" i="11"/>
  <c r="E67" i="11" s="1"/>
  <c r="F67" i="11" s="1"/>
  <c r="G52" i="37"/>
  <c r="I52" i="37" s="1"/>
  <c r="D53" i="37"/>
  <c r="B51" i="43"/>
  <c r="F51" i="43"/>
  <c r="G51" i="43" s="1"/>
  <c r="G66" i="11"/>
  <c r="B70" i="10"/>
  <c r="G70" i="10"/>
  <c r="H52" i="39"/>
  <c r="I52" i="39" s="1"/>
  <c r="D53" i="39"/>
  <c r="B51" i="40"/>
  <c r="F51" i="40"/>
  <c r="H51" i="40" s="1"/>
  <c r="I50" i="43"/>
  <c r="B52" i="42"/>
  <c r="F52" i="42"/>
  <c r="G52" i="42" s="1"/>
  <c r="E57" i="27" l="1"/>
  <c r="F57" i="27" s="1"/>
  <c r="H57" i="27"/>
  <c r="B57" i="27"/>
  <c r="G57" i="27"/>
  <c r="H50" i="50"/>
  <c r="I50" i="50" s="1"/>
  <c r="G56" i="29"/>
  <c r="H56" i="29"/>
  <c r="I56" i="29" s="1"/>
  <c r="D57" i="29"/>
  <c r="E51" i="50"/>
  <c r="D51" i="50"/>
  <c r="I65" i="51"/>
  <c r="H66" i="51"/>
  <c r="I66" i="51" s="1"/>
  <c r="D67" i="51"/>
  <c r="H57" i="28"/>
  <c r="B57" i="28"/>
  <c r="I60" i="4"/>
  <c r="G57" i="28"/>
  <c r="E56" i="52"/>
  <c r="F56" i="52" s="1"/>
  <c r="D57" i="52" s="1"/>
  <c r="G61" i="4"/>
  <c r="I61" i="4" s="1"/>
  <c r="D62" i="4"/>
  <c r="E62" i="4" s="1"/>
  <c r="F62" i="4" s="1"/>
  <c r="D63" i="4" s="1"/>
  <c r="I50" i="52"/>
  <c r="E62" i="5"/>
  <c r="F62" i="5" s="1"/>
  <c r="D63" i="5" s="1"/>
  <c r="B62" i="5"/>
  <c r="B51" i="52"/>
  <c r="G56" i="44"/>
  <c r="I56" i="44" s="1"/>
  <c r="D57" i="44"/>
  <c r="E57" i="44" s="1"/>
  <c r="F57" i="44" s="1"/>
  <c r="G54" i="30"/>
  <c r="I54" i="30" s="1"/>
  <c r="D55" i="30"/>
  <c r="E55" i="30"/>
  <c r="B63" i="6"/>
  <c r="I63" i="8"/>
  <c r="I62" i="9"/>
  <c r="I62" i="6"/>
  <c r="B57" i="45"/>
  <c r="G64" i="8"/>
  <c r="G63" i="9"/>
  <c r="D64" i="9"/>
  <c r="E65" i="8"/>
  <c r="F65" i="8" s="1"/>
  <c r="D66" i="8" s="1"/>
  <c r="B65" i="8"/>
  <c r="H64" i="8"/>
  <c r="B63" i="9"/>
  <c r="H63" i="9"/>
  <c r="G59" i="24"/>
  <c r="D60" i="24"/>
  <c r="H59" i="24"/>
  <c r="D64" i="6"/>
  <c r="E64" i="6" s="1"/>
  <c r="F64" i="6" s="1"/>
  <c r="G63" i="6"/>
  <c r="E61" i="3"/>
  <c r="F61" i="3" s="1"/>
  <c r="G61" i="3" s="1"/>
  <c r="B61" i="3"/>
  <c r="H63" i="6"/>
  <c r="G51" i="46"/>
  <c r="E52" i="46"/>
  <c r="D52" i="46"/>
  <c r="B60" i="25"/>
  <c r="H56" i="31"/>
  <c r="I56" i="31" s="1"/>
  <c r="D57" i="31"/>
  <c r="E57" i="31" s="1"/>
  <c r="E60" i="25"/>
  <c r="F60" i="25" s="1"/>
  <c r="H51" i="46"/>
  <c r="I68" i="7"/>
  <c r="D70" i="7"/>
  <c r="E70" i="7" s="1"/>
  <c r="F70" i="7" s="1"/>
  <c r="B69" i="7"/>
  <c r="H69" i="7"/>
  <c r="G69" i="7"/>
  <c r="F59" i="23"/>
  <c r="H59" i="23" s="1"/>
  <c r="B59" i="23"/>
  <c r="F58" i="28"/>
  <c r="D58" i="45"/>
  <c r="G57" i="45"/>
  <c r="H57" i="45"/>
  <c r="G67" i="11"/>
  <c r="D68" i="11"/>
  <c r="E68" i="11" s="1"/>
  <c r="F68" i="11" s="1"/>
  <c r="G53" i="38"/>
  <c r="I53" i="38" s="1"/>
  <c r="D54" i="38"/>
  <c r="E54" i="38"/>
  <c r="E53" i="37"/>
  <c r="F53" i="37" s="1"/>
  <c r="G53" i="37" s="1"/>
  <c r="B53" i="37"/>
  <c r="G51" i="40"/>
  <c r="I51" i="40" s="1"/>
  <c r="D52" i="40"/>
  <c r="H52" i="42"/>
  <c r="I52" i="42" s="1"/>
  <c r="D53" i="42"/>
  <c r="E53" i="42"/>
  <c r="E53" i="39"/>
  <c r="F53" i="39" s="1"/>
  <c r="B53" i="39"/>
  <c r="B67" i="11"/>
  <c r="H67" i="11"/>
  <c r="D72" i="10"/>
  <c r="E72" i="10" s="1"/>
  <c r="E73" i="10" s="1"/>
  <c r="H51" i="43"/>
  <c r="I51" i="43" s="1"/>
  <c r="D52" i="43"/>
  <c r="I66" i="11"/>
  <c r="B71" i="10"/>
  <c r="H71" i="10"/>
  <c r="G71" i="10"/>
  <c r="B58" i="28"/>
  <c r="H60" i="22"/>
  <c r="D61" i="22"/>
  <c r="E61" i="22" s="1"/>
  <c r="F61" i="22" s="1"/>
  <c r="G60" i="22"/>
  <c r="G51" i="41"/>
  <c r="I51" i="41" s="1"/>
  <c r="D52" i="41"/>
  <c r="I70" i="10"/>
  <c r="E57" i="29" l="1"/>
  <c r="B57" i="29"/>
  <c r="F57" i="29"/>
  <c r="I57" i="27"/>
  <c r="D58" i="27"/>
  <c r="E58" i="27" s="1"/>
  <c r="F58" i="27" s="1"/>
  <c r="D59" i="27" s="1"/>
  <c r="B51" i="50"/>
  <c r="F51" i="50"/>
  <c r="G51" i="50" s="1"/>
  <c r="E67" i="51"/>
  <c r="B67" i="51"/>
  <c r="F67" i="51"/>
  <c r="G67" i="51" s="1"/>
  <c r="I57" i="28"/>
  <c r="H56" i="52"/>
  <c r="G56" i="52"/>
  <c r="E57" i="52"/>
  <c r="F57" i="52" s="1"/>
  <c r="D58" i="52" s="1"/>
  <c r="E63" i="4"/>
  <c r="F63" i="4" s="1"/>
  <c r="D64" i="4" s="1"/>
  <c r="B63" i="4"/>
  <c r="B62" i="4"/>
  <c r="G62" i="4"/>
  <c r="H62" i="4"/>
  <c r="H62" i="5"/>
  <c r="G62" i="5"/>
  <c r="E63" i="5"/>
  <c r="F63" i="5" s="1"/>
  <c r="D64" i="5" s="1"/>
  <c r="B63" i="5"/>
  <c r="H57" i="44"/>
  <c r="D58" i="44"/>
  <c r="B57" i="44"/>
  <c r="G57" i="44"/>
  <c r="B55" i="30"/>
  <c r="F55" i="30"/>
  <c r="H55" i="30" s="1"/>
  <c r="H65" i="8"/>
  <c r="I63" i="9"/>
  <c r="I64" i="8"/>
  <c r="G65" i="8"/>
  <c r="E64" i="9"/>
  <c r="F64" i="9" s="1"/>
  <c r="D65" i="9" s="1"/>
  <c r="B64" i="9"/>
  <c r="E66" i="8"/>
  <c r="F66" i="8" s="1"/>
  <c r="D67" i="8" s="1"/>
  <c r="B66" i="8"/>
  <c r="G59" i="23"/>
  <c r="I59" i="23" s="1"/>
  <c r="H64" i="6"/>
  <c r="G64" i="6"/>
  <c r="B64" i="6"/>
  <c r="D62" i="3"/>
  <c r="E62" i="3" s="1"/>
  <c r="F62" i="3" s="1"/>
  <c r="I59" i="24"/>
  <c r="I63" i="6"/>
  <c r="E60" i="24"/>
  <c r="F60" i="24" s="1"/>
  <c r="B60" i="24"/>
  <c r="H61" i="3"/>
  <c r="I61" i="3" s="1"/>
  <c r="I57" i="45"/>
  <c r="I51" i="46"/>
  <c r="G60" i="25"/>
  <c r="D61" i="25"/>
  <c r="H60" i="25"/>
  <c r="F57" i="31"/>
  <c r="B57" i="31"/>
  <c r="D65" i="6"/>
  <c r="E65" i="6" s="1"/>
  <c r="F65" i="6" s="1"/>
  <c r="F52" i="46"/>
  <c r="B52" i="46"/>
  <c r="I69" i="7"/>
  <c r="D71" i="7"/>
  <c r="E71" i="7" s="1"/>
  <c r="F71" i="7" s="1"/>
  <c r="B70" i="7"/>
  <c r="H70" i="7"/>
  <c r="G70" i="7"/>
  <c r="H58" i="28"/>
  <c r="D59" i="28"/>
  <c r="D60" i="23"/>
  <c r="E60" i="23" s="1"/>
  <c r="G58" i="28"/>
  <c r="I67" i="11"/>
  <c r="I60" i="22"/>
  <c r="G53" i="39"/>
  <c r="D54" i="39"/>
  <c r="E54" i="39"/>
  <c r="H53" i="39"/>
  <c r="F53" i="42"/>
  <c r="D54" i="42" s="1"/>
  <c r="B53" i="42"/>
  <c r="I71" i="10"/>
  <c r="E52" i="43"/>
  <c r="F52" i="43" s="1"/>
  <c r="G52" i="43" s="1"/>
  <c r="B52" i="43"/>
  <c r="B72" i="10"/>
  <c r="F72" i="10"/>
  <c r="H72" i="10" s="1"/>
  <c r="H53" i="37"/>
  <c r="I53" i="37" s="1"/>
  <c r="D54" i="37"/>
  <c r="E54" i="37"/>
  <c r="E58" i="45"/>
  <c r="F58" i="45" s="1"/>
  <c r="H58" i="45" s="1"/>
  <c r="B58" i="45"/>
  <c r="H61" i="22"/>
  <c r="D62" i="22"/>
  <c r="E52" i="41"/>
  <c r="F52" i="41" s="1"/>
  <c r="B52" i="41"/>
  <c r="B61" i="22"/>
  <c r="G61" i="22"/>
  <c r="F54" i="38"/>
  <c r="H54" i="38" s="1"/>
  <c r="B54" i="38"/>
  <c r="B68" i="11"/>
  <c r="G68" i="11"/>
  <c r="E52" i="40"/>
  <c r="F52" i="40" s="1"/>
  <c r="B52" i="40"/>
  <c r="H68" i="11"/>
  <c r="D69" i="11"/>
  <c r="E69" i="11" s="1"/>
  <c r="F69" i="11" s="1"/>
  <c r="E59" i="27" l="1"/>
  <c r="F59" i="27" s="1"/>
  <c r="D60" i="27" s="1"/>
  <c r="H59" i="27"/>
  <c r="B59" i="27"/>
  <c r="G59" i="27"/>
  <c r="B58" i="27"/>
  <c r="G58" i="27"/>
  <c r="H58" i="27"/>
  <c r="I58" i="27" s="1"/>
  <c r="G57" i="29"/>
  <c r="H57" i="29"/>
  <c r="D58" i="29"/>
  <c r="H51" i="50"/>
  <c r="I51" i="50" s="1"/>
  <c r="D52" i="50"/>
  <c r="E52" i="50"/>
  <c r="H67" i="51"/>
  <c r="I67" i="51" s="1"/>
  <c r="D68" i="51"/>
  <c r="G57" i="52"/>
  <c r="G63" i="4"/>
  <c r="H63" i="4"/>
  <c r="H57" i="52"/>
  <c r="E58" i="52"/>
  <c r="F58" i="52" s="1"/>
  <c r="H58" i="52" s="1"/>
  <c r="I62" i="4"/>
  <c r="E64" i="4"/>
  <c r="F64" i="4" s="1"/>
  <c r="G64" i="4" s="1"/>
  <c r="B64" i="4"/>
  <c r="G63" i="5"/>
  <c r="I51" i="52"/>
  <c r="H63" i="5"/>
  <c r="E64" i="5"/>
  <c r="F64" i="5" s="1"/>
  <c r="D65" i="5" s="1"/>
  <c r="B64" i="5"/>
  <c r="B52" i="52"/>
  <c r="I57" i="44"/>
  <c r="G55" i="30"/>
  <c r="I55" i="30" s="1"/>
  <c r="I65" i="8"/>
  <c r="E58" i="44"/>
  <c r="F58" i="44" s="1"/>
  <c r="G58" i="44" s="1"/>
  <c r="B58" i="44"/>
  <c r="G64" i="9"/>
  <c r="D56" i="30"/>
  <c r="E56" i="30" s="1"/>
  <c r="I64" i="6"/>
  <c r="H64" i="9"/>
  <c r="H66" i="8"/>
  <c r="E67" i="8"/>
  <c r="F67" i="8" s="1"/>
  <c r="D68" i="8" s="1"/>
  <c r="B67" i="8"/>
  <c r="E65" i="9"/>
  <c r="F65" i="9" s="1"/>
  <c r="D66" i="9" s="1"/>
  <c r="B65" i="9"/>
  <c r="G66" i="8"/>
  <c r="D61" i="24"/>
  <c r="E61" i="24" s="1"/>
  <c r="G60" i="24"/>
  <c r="I60" i="25"/>
  <c r="G62" i="3"/>
  <c r="D63" i="3"/>
  <c r="I58" i="28"/>
  <c r="H60" i="24"/>
  <c r="B62" i="3"/>
  <c r="H62" i="3"/>
  <c r="G57" i="31"/>
  <c r="D58" i="31"/>
  <c r="G52" i="46"/>
  <c r="E53" i="46"/>
  <c r="D53" i="46"/>
  <c r="H52" i="46"/>
  <c r="G65" i="6"/>
  <c r="D66" i="6"/>
  <c r="E66" i="6" s="1"/>
  <c r="F66" i="6" s="1"/>
  <c r="B65" i="6"/>
  <c r="H65" i="6"/>
  <c r="E61" i="25"/>
  <c r="F61" i="25" s="1"/>
  <c r="H61" i="25" s="1"/>
  <c r="B61" i="25"/>
  <c r="H57" i="31"/>
  <c r="I70" i="7"/>
  <c r="D72" i="7"/>
  <c r="E59" i="28"/>
  <c r="F59" i="28" s="1"/>
  <c r="H59" i="28" s="1"/>
  <c r="I68" i="11"/>
  <c r="G71" i="7"/>
  <c r="B71" i="7"/>
  <c r="H71" i="7"/>
  <c r="B59" i="28"/>
  <c r="B60" i="23"/>
  <c r="F60" i="23"/>
  <c r="H60" i="23" s="1"/>
  <c r="G72" i="10"/>
  <c r="G73" i="10" s="1"/>
  <c r="I53" i="39"/>
  <c r="H52" i="41"/>
  <c r="D53" i="41"/>
  <c r="E53" i="41"/>
  <c r="G52" i="41"/>
  <c r="G52" i="40"/>
  <c r="D53" i="40"/>
  <c r="H52" i="40"/>
  <c r="I61" i="22"/>
  <c r="E54" i="42"/>
  <c r="F54" i="42" s="1"/>
  <c r="B54" i="42"/>
  <c r="B54" i="37"/>
  <c r="F54" i="37"/>
  <c r="H54" i="37" s="1"/>
  <c r="H69" i="11"/>
  <c r="D70" i="11"/>
  <c r="E70" i="11" s="1"/>
  <c r="F70" i="11" s="1"/>
  <c r="B69" i="11"/>
  <c r="G69" i="11"/>
  <c r="H52" i="43"/>
  <c r="I52" i="43" s="1"/>
  <c r="D53" i="43"/>
  <c r="E53" i="43"/>
  <c r="E62" i="22"/>
  <c r="F62" i="22" s="1"/>
  <c r="B62" i="22"/>
  <c r="G54" i="38"/>
  <c r="I54" i="38" s="1"/>
  <c r="D55" i="38"/>
  <c r="E55" i="38"/>
  <c r="G58" i="45"/>
  <c r="I58" i="45" s="1"/>
  <c r="D59" i="45"/>
  <c r="H73" i="10"/>
  <c r="G53" i="42"/>
  <c r="B54" i="39"/>
  <c r="F54" i="39"/>
  <c r="H54" i="39" s="1"/>
  <c r="H53" i="42"/>
  <c r="E58" i="29" l="1"/>
  <c r="B58" i="29"/>
  <c r="F58" i="29"/>
  <c r="I59" i="27"/>
  <c r="I57" i="29"/>
  <c r="E60" i="27"/>
  <c r="F60" i="27" s="1"/>
  <c r="D61" i="27" s="1"/>
  <c r="B60" i="27"/>
  <c r="F52" i="50"/>
  <c r="G52" i="50" s="1"/>
  <c r="B52" i="50"/>
  <c r="E68" i="51"/>
  <c r="B68" i="51"/>
  <c r="F68" i="51"/>
  <c r="G68" i="51" s="1"/>
  <c r="I63" i="4"/>
  <c r="G58" i="52"/>
  <c r="D59" i="52"/>
  <c r="H64" i="4"/>
  <c r="I64" i="4" s="1"/>
  <c r="D65" i="4"/>
  <c r="E65" i="4" s="1"/>
  <c r="F65" i="4" s="1"/>
  <c r="H64" i="5"/>
  <c r="G64" i="5"/>
  <c r="E65" i="5"/>
  <c r="F65" i="5" s="1"/>
  <c r="D66" i="5" s="1"/>
  <c r="B65" i="5"/>
  <c r="H58" i="44"/>
  <c r="I58" i="44" s="1"/>
  <c r="D59" i="44"/>
  <c r="E59" i="44" s="1"/>
  <c r="F59" i="44" s="1"/>
  <c r="I64" i="9"/>
  <c r="F56" i="30"/>
  <c r="B56" i="30"/>
  <c r="H67" i="8"/>
  <c r="I66" i="8"/>
  <c r="I71" i="7"/>
  <c r="G67" i="8"/>
  <c r="E66" i="9"/>
  <c r="F66" i="9" s="1"/>
  <c r="D67" i="9" s="1"/>
  <c r="B66" i="9"/>
  <c r="F61" i="24"/>
  <c r="G61" i="24" s="1"/>
  <c r="H65" i="9"/>
  <c r="E68" i="8"/>
  <c r="F68" i="8" s="1"/>
  <c r="D69" i="8" s="1"/>
  <c r="B68" i="8"/>
  <c r="I60" i="24"/>
  <c r="B61" i="24"/>
  <c r="G65" i="9"/>
  <c r="I57" i="31"/>
  <c r="I65" i="6"/>
  <c r="G61" i="25"/>
  <c r="I61" i="25" s="1"/>
  <c r="I62" i="3"/>
  <c r="E63" i="3"/>
  <c r="F63" i="3" s="1"/>
  <c r="H63" i="3" s="1"/>
  <c r="B63" i="3"/>
  <c r="I52" i="46"/>
  <c r="G66" i="6"/>
  <c r="D67" i="6"/>
  <c r="E67" i="6" s="1"/>
  <c r="F67" i="6" s="1"/>
  <c r="B53" i="46"/>
  <c r="F53" i="46"/>
  <c r="D60" i="28"/>
  <c r="B60" i="28" s="1"/>
  <c r="B66" i="6"/>
  <c r="H66" i="6"/>
  <c r="E58" i="31"/>
  <c r="F58" i="31" s="1"/>
  <c r="B58" i="31"/>
  <c r="D62" i="25"/>
  <c r="I72" i="10"/>
  <c r="I73" i="10" s="1"/>
  <c r="G59" i="28"/>
  <c r="I59" i="28" s="1"/>
  <c r="B72" i="7"/>
  <c r="E72" i="7"/>
  <c r="E73" i="7" s="1"/>
  <c r="G60" i="23"/>
  <c r="I60" i="23" s="1"/>
  <c r="D61" i="23"/>
  <c r="E61" i="23" s="1"/>
  <c r="I52" i="41"/>
  <c r="I52" i="40"/>
  <c r="I69" i="11"/>
  <c r="B55" i="38"/>
  <c r="F55" i="38"/>
  <c r="H55" i="38" s="1"/>
  <c r="G54" i="37"/>
  <c r="I54" i="37" s="1"/>
  <c r="D55" i="37"/>
  <c r="E55" i="37" s="1"/>
  <c r="F53" i="41"/>
  <c r="G53" i="41" s="1"/>
  <c r="B53" i="41"/>
  <c r="B53" i="43"/>
  <c r="F53" i="43"/>
  <c r="G53" i="43" s="1"/>
  <c r="E53" i="40"/>
  <c r="F53" i="40" s="1"/>
  <c r="B53" i="40"/>
  <c r="H62" i="22"/>
  <c r="D63" i="22"/>
  <c r="E63" i="22" s="1"/>
  <c r="F63" i="22" s="1"/>
  <c r="G54" i="42"/>
  <c r="D55" i="42"/>
  <c r="E59" i="45"/>
  <c r="F59" i="45" s="1"/>
  <c r="B59" i="45"/>
  <c r="H70" i="11"/>
  <c r="D71" i="11"/>
  <c r="E71" i="11" s="1"/>
  <c r="F71" i="11" s="1"/>
  <c r="I53" i="42"/>
  <c r="G54" i="39"/>
  <c r="I54" i="39" s="1"/>
  <c r="D55" i="39"/>
  <c r="G62" i="22"/>
  <c r="B70" i="11"/>
  <c r="G70" i="11"/>
  <c r="H54" i="42"/>
  <c r="G60" i="27" l="1"/>
  <c r="E61" i="27"/>
  <c r="F61" i="27" s="1"/>
  <c r="D62" i="27" s="1"/>
  <c r="B61" i="27"/>
  <c r="H61" i="27"/>
  <c r="G61" i="27"/>
  <c r="G58" i="29"/>
  <c r="D59" i="29"/>
  <c r="H58" i="29"/>
  <c r="H60" i="27"/>
  <c r="I60" i="27" s="1"/>
  <c r="H52" i="50"/>
  <c r="I52" i="50" s="1"/>
  <c r="E53" i="50"/>
  <c r="D53" i="50"/>
  <c r="H68" i="51"/>
  <c r="I68" i="51" s="1"/>
  <c r="D69" i="51"/>
  <c r="E59" i="52"/>
  <c r="F59" i="52" s="1"/>
  <c r="D60" i="52" s="1"/>
  <c r="D66" i="4"/>
  <c r="E66" i="4" s="1"/>
  <c r="F66" i="4" s="1"/>
  <c r="B65" i="4"/>
  <c r="G65" i="4"/>
  <c r="H65" i="4"/>
  <c r="I52" i="52"/>
  <c r="H65" i="5"/>
  <c r="I67" i="8"/>
  <c r="G65" i="5"/>
  <c r="E66" i="5"/>
  <c r="F66" i="5" s="1"/>
  <c r="H66" i="5" s="1"/>
  <c r="B66" i="5"/>
  <c r="B53" i="52"/>
  <c r="D60" i="44"/>
  <c r="E60" i="44" s="1"/>
  <c r="F60" i="44" s="1"/>
  <c r="B59" i="44"/>
  <c r="G59" i="44"/>
  <c r="H59" i="44"/>
  <c r="G56" i="30"/>
  <c r="D57" i="30"/>
  <c r="H56" i="30"/>
  <c r="H66" i="9"/>
  <c r="H61" i="24"/>
  <c r="I61" i="24" s="1"/>
  <c r="I65" i="9"/>
  <c r="I66" i="6"/>
  <c r="G66" i="9"/>
  <c r="E69" i="8"/>
  <c r="F69" i="8" s="1"/>
  <c r="D70" i="8" s="1"/>
  <c r="B69" i="8"/>
  <c r="G68" i="8"/>
  <c r="E60" i="28"/>
  <c r="F60" i="28" s="1"/>
  <c r="H60" i="28" s="1"/>
  <c r="D62" i="24"/>
  <c r="B62" i="24" s="1"/>
  <c r="H68" i="8"/>
  <c r="E67" i="9"/>
  <c r="F67" i="9" s="1"/>
  <c r="D68" i="9" s="1"/>
  <c r="B67" i="9"/>
  <c r="D64" i="3"/>
  <c r="E64" i="3" s="1"/>
  <c r="F64" i="3" s="1"/>
  <c r="D65" i="3" s="1"/>
  <c r="G63" i="3"/>
  <c r="I63" i="3" s="1"/>
  <c r="H53" i="41"/>
  <c r="I53" i="41" s="1"/>
  <c r="G58" i="31"/>
  <c r="D59" i="31"/>
  <c r="H58" i="31"/>
  <c r="B62" i="25"/>
  <c r="G67" i="6"/>
  <c r="D68" i="6"/>
  <c r="E68" i="6" s="1"/>
  <c r="F68" i="6" s="1"/>
  <c r="B67" i="6"/>
  <c r="H67" i="6"/>
  <c r="G53" i="46"/>
  <c r="E54" i="46"/>
  <c r="D54" i="46"/>
  <c r="H53" i="46"/>
  <c r="E62" i="25"/>
  <c r="F62" i="25" s="1"/>
  <c r="F72" i="7"/>
  <c r="B61" i="23"/>
  <c r="F61" i="23"/>
  <c r="H61" i="23" s="1"/>
  <c r="I54" i="42"/>
  <c r="G53" i="40"/>
  <c r="D54" i="40"/>
  <c r="H53" i="40"/>
  <c r="H59" i="45"/>
  <c r="D60" i="45"/>
  <c r="G59" i="45"/>
  <c r="B71" i="11"/>
  <c r="G71" i="11"/>
  <c r="F55" i="37"/>
  <c r="B55" i="37"/>
  <c r="I70" i="11"/>
  <c r="H63" i="22"/>
  <c r="D64" i="22"/>
  <c r="E64" i="22" s="1"/>
  <c r="F64" i="22" s="1"/>
  <c r="H71" i="11"/>
  <c r="D72" i="11"/>
  <c r="E72" i="11" s="1"/>
  <c r="E73" i="11" s="1"/>
  <c r="B63" i="22"/>
  <c r="G63" i="22"/>
  <c r="G55" i="38"/>
  <c r="I55" i="38" s="1"/>
  <c r="D56" i="38"/>
  <c r="E55" i="42"/>
  <c r="F55" i="42" s="1"/>
  <c r="H55" i="42" s="1"/>
  <c r="B55" i="42"/>
  <c r="E55" i="39"/>
  <c r="F55" i="39" s="1"/>
  <c r="D56" i="39" s="1"/>
  <c r="B55" i="39"/>
  <c r="I62" i="22"/>
  <c r="H53" i="43"/>
  <c r="I53" i="43" s="1"/>
  <c r="D54" i="43"/>
  <c r="D54" i="41"/>
  <c r="E54" i="41" s="1"/>
  <c r="I58" i="29" l="1"/>
  <c r="B59" i="29"/>
  <c r="E59" i="29"/>
  <c r="F59" i="29" s="1"/>
  <c r="D60" i="29" s="1"/>
  <c r="E60" i="29" s="1"/>
  <c r="F60" i="29" s="1"/>
  <c r="I61" i="27"/>
  <c r="E62" i="27"/>
  <c r="F62" i="27" s="1"/>
  <c r="D63" i="27" s="1"/>
  <c r="B62" i="27"/>
  <c r="F53" i="50"/>
  <c r="G53" i="50" s="1"/>
  <c r="B53" i="50"/>
  <c r="E69" i="51"/>
  <c r="F69" i="51" s="1"/>
  <c r="G69" i="51" s="1"/>
  <c r="B69" i="51"/>
  <c r="G59" i="52"/>
  <c r="H59" i="52"/>
  <c r="E60" i="52"/>
  <c r="F60" i="52" s="1"/>
  <c r="G60" i="52" s="1"/>
  <c r="I65" i="4"/>
  <c r="G66" i="4"/>
  <c r="D67" i="4"/>
  <c r="B66" i="4"/>
  <c r="H66" i="4"/>
  <c r="I53" i="52"/>
  <c r="D67" i="5"/>
  <c r="E67" i="5" s="1"/>
  <c r="F67" i="5" s="1"/>
  <c r="D68" i="5" s="1"/>
  <c r="I59" i="44"/>
  <c r="G66" i="5"/>
  <c r="I66" i="9"/>
  <c r="D61" i="44"/>
  <c r="B61" i="44" s="1"/>
  <c r="B60" i="44"/>
  <c r="H60" i="44"/>
  <c r="G60" i="44"/>
  <c r="I56" i="30"/>
  <c r="E57" i="30"/>
  <c r="F57" i="30" s="1"/>
  <c r="G57" i="30" s="1"/>
  <c r="B57" i="30"/>
  <c r="E62" i="24"/>
  <c r="F62" i="24" s="1"/>
  <c r="G62" i="24" s="1"/>
  <c r="I68" i="8"/>
  <c r="I58" i="31"/>
  <c r="G69" i="8"/>
  <c r="G67" i="9"/>
  <c r="D61" i="28"/>
  <c r="B61" i="28" s="1"/>
  <c r="G60" i="28"/>
  <c r="I60" i="28" s="1"/>
  <c r="H67" i="9"/>
  <c r="H69" i="8"/>
  <c r="E68" i="9"/>
  <c r="F68" i="9" s="1"/>
  <c r="D69" i="9" s="1"/>
  <c r="B68" i="9"/>
  <c r="E70" i="8"/>
  <c r="F70" i="8" s="1"/>
  <c r="H70" i="8" s="1"/>
  <c r="B70" i="8"/>
  <c r="I67" i="6"/>
  <c r="E65" i="3"/>
  <c r="F65" i="3" s="1"/>
  <c r="D66" i="3" s="1"/>
  <c r="B65" i="3"/>
  <c r="B64" i="3"/>
  <c r="H64" i="3"/>
  <c r="G64" i="3"/>
  <c r="G62" i="25"/>
  <c r="D63" i="25"/>
  <c r="D69" i="6"/>
  <c r="E69" i="6" s="1"/>
  <c r="F69" i="6" s="1"/>
  <c r="E59" i="31"/>
  <c r="F59" i="31" s="1"/>
  <c r="B59" i="31"/>
  <c r="I53" i="46"/>
  <c r="B68" i="6"/>
  <c r="H68" i="6"/>
  <c r="G68" i="6"/>
  <c r="B54" i="46"/>
  <c r="F54" i="46"/>
  <c r="H62" i="25"/>
  <c r="G60" i="29"/>
  <c r="D61" i="29"/>
  <c r="E61" i="29" s="1"/>
  <c r="F61" i="29" s="1"/>
  <c r="H72" i="7"/>
  <c r="G72" i="7"/>
  <c r="G73" i="7" s="1"/>
  <c r="H60" i="29"/>
  <c r="G61" i="23"/>
  <c r="I61" i="23" s="1"/>
  <c r="D62" i="23"/>
  <c r="I53" i="40"/>
  <c r="I59" i="45"/>
  <c r="E56" i="38"/>
  <c r="F56" i="38" s="1"/>
  <c r="H56" i="38" s="1"/>
  <c r="B56" i="38"/>
  <c r="E60" i="45"/>
  <c r="F60" i="45" s="1"/>
  <c r="B60" i="45"/>
  <c r="H64" i="22"/>
  <c r="D65" i="22"/>
  <c r="E65" i="22" s="1"/>
  <c r="F65" i="22" s="1"/>
  <c r="E56" i="39"/>
  <c r="F56" i="39" s="1"/>
  <c r="B56" i="39"/>
  <c r="H55" i="37"/>
  <c r="D56" i="37"/>
  <c r="E56" i="37" s="1"/>
  <c r="G55" i="42"/>
  <c r="I55" i="42" s="1"/>
  <c r="D56" i="42"/>
  <c r="H55" i="39"/>
  <c r="B72" i="11"/>
  <c r="F72" i="11"/>
  <c r="H72" i="11" s="1"/>
  <c r="B64" i="22"/>
  <c r="G64" i="22"/>
  <c r="E54" i="40"/>
  <c r="F54" i="40" s="1"/>
  <c r="G54" i="40" s="1"/>
  <c r="B54" i="40"/>
  <c r="B54" i="41"/>
  <c r="F54" i="41"/>
  <c r="G54" i="41" s="1"/>
  <c r="G55" i="39"/>
  <c r="E54" i="43"/>
  <c r="F54" i="43" s="1"/>
  <c r="G54" i="43" s="1"/>
  <c r="B54" i="43"/>
  <c r="I71" i="11"/>
  <c r="I63" i="22"/>
  <c r="G55" i="37"/>
  <c r="G62" i="27" l="1"/>
  <c r="H62" i="27"/>
  <c r="I62" i="27" s="1"/>
  <c r="E63" i="27"/>
  <c r="F63" i="27" s="1"/>
  <c r="D64" i="27" s="1"/>
  <c r="B63" i="27"/>
  <c r="H63" i="27"/>
  <c r="H59" i="29"/>
  <c r="B60" i="29"/>
  <c r="G59" i="29"/>
  <c r="H53" i="50"/>
  <c r="I53" i="50" s="1"/>
  <c r="D54" i="50"/>
  <c r="E54" i="50"/>
  <c r="H69" i="51"/>
  <c r="I69" i="51" s="1"/>
  <c r="D70" i="51"/>
  <c r="H60" i="52"/>
  <c r="D61" i="52"/>
  <c r="E61" i="52" s="1"/>
  <c r="F61" i="52" s="1"/>
  <c r="D62" i="52" s="1"/>
  <c r="I66" i="4"/>
  <c r="E67" i="4"/>
  <c r="F67" i="4" s="1"/>
  <c r="H67" i="4" s="1"/>
  <c r="B67" i="4"/>
  <c r="B67" i="5"/>
  <c r="H67" i="5"/>
  <c r="G67" i="5"/>
  <c r="E61" i="44"/>
  <c r="F61" i="44" s="1"/>
  <c r="H61" i="44" s="1"/>
  <c r="B54" i="52"/>
  <c r="E68" i="5"/>
  <c r="F68" i="5" s="1"/>
  <c r="D69" i="5" s="1"/>
  <c r="B68" i="5"/>
  <c r="H62" i="24"/>
  <c r="I62" i="24" s="1"/>
  <c r="I60" i="44"/>
  <c r="D63" i="24"/>
  <c r="E63" i="24" s="1"/>
  <c r="F63" i="24" s="1"/>
  <c r="D64" i="24" s="1"/>
  <c r="H57" i="30"/>
  <c r="I57" i="30" s="1"/>
  <c r="D58" i="30"/>
  <c r="G70" i="8"/>
  <c r="I70" i="8" s="1"/>
  <c r="E61" i="28"/>
  <c r="F61" i="28" s="1"/>
  <c r="G61" i="28" s="1"/>
  <c r="I69" i="8"/>
  <c r="I67" i="9"/>
  <c r="G68" i="9"/>
  <c r="H68" i="9"/>
  <c r="E69" i="9"/>
  <c r="F69" i="9" s="1"/>
  <c r="H69" i="9" s="1"/>
  <c r="B69" i="9"/>
  <c r="D71" i="8"/>
  <c r="E71" i="8" s="1"/>
  <c r="F71" i="8" s="1"/>
  <c r="D72" i="8" s="1"/>
  <c r="B72" i="8" s="1"/>
  <c r="I62" i="25"/>
  <c r="G65" i="3"/>
  <c r="E66" i="3"/>
  <c r="F66" i="3" s="1"/>
  <c r="H66" i="3" s="1"/>
  <c r="B66" i="3"/>
  <c r="I64" i="3"/>
  <c r="H65" i="3"/>
  <c r="G59" i="31"/>
  <c r="D60" i="31"/>
  <c r="E60" i="31" s="1"/>
  <c r="F60" i="31" s="1"/>
  <c r="I68" i="6"/>
  <c r="H69" i="6"/>
  <c r="D70" i="6"/>
  <c r="H59" i="31"/>
  <c r="B69" i="6"/>
  <c r="G69" i="6"/>
  <c r="I60" i="29"/>
  <c r="E63" i="25"/>
  <c r="F63" i="25" s="1"/>
  <c r="G63" i="25" s="1"/>
  <c r="B63" i="25"/>
  <c r="H54" i="46"/>
  <c r="D55" i="46"/>
  <c r="E55" i="46" s="1"/>
  <c r="G54" i="46"/>
  <c r="G72" i="11"/>
  <c r="G73" i="11" s="1"/>
  <c r="I72" i="7"/>
  <c r="I73" i="7" s="1"/>
  <c r="H73" i="7"/>
  <c r="G61" i="29"/>
  <c r="D62" i="29"/>
  <c r="B61" i="29"/>
  <c r="H61" i="29"/>
  <c r="E62" i="23"/>
  <c r="F62" i="23" s="1"/>
  <c r="D63" i="23" s="1"/>
  <c r="B62" i="23"/>
  <c r="I55" i="37"/>
  <c r="D61" i="45"/>
  <c r="G60" i="45"/>
  <c r="H60" i="45"/>
  <c r="F56" i="37"/>
  <c r="H56" i="37" s="1"/>
  <c r="B56" i="37"/>
  <c r="G56" i="38"/>
  <c r="I56" i="38" s="1"/>
  <c r="D57" i="38"/>
  <c r="E57" i="38" s="1"/>
  <c r="B65" i="22"/>
  <c r="G65" i="22"/>
  <c r="I64" i="22"/>
  <c r="I55" i="39"/>
  <c r="H56" i="39"/>
  <c r="D57" i="39"/>
  <c r="E56" i="42"/>
  <c r="F56" i="42" s="1"/>
  <c r="D57" i="42" s="1"/>
  <c r="B56" i="42"/>
  <c r="H54" i="43"/>
  <c r="I54" i="43" s="1"/>
  <c r="D55" i="43"/>
  <c r="H54" i="41"/>
  <c r="I54" i="41" s="1"/>
  <c r="D55" i="41"/>
  <c r="H54" i="40"/>
  <c r="I54" i="40" s="1"/>
  <c r="D55" i="40"/>
  <c r="H65" i="22"/>
  <c r="D66" i="22"/>
  <c r="E66" i="22" s="1"/>
  <c r="F66" i="22" s="1"/>
  <c r="H73" i="11"/>
  <c r="G56" i="39"/>
  <c r="I59" i="29" l="1"/>
  <c r="G63" i="27"/>
  <c r="I63" i="27" s="1"/>
  <c r="E64" i="27"/>
  <c r="F64" i="27" s="1"/>
  <c r="D65" i="27" s="1"/>
  <c r="B64" i="27"/>
  <c r="G64" i="27"/>
  <c r="H64" i="27"/>
  <c r="F54" i="50"/>
  <c r="G54" i="50" s="1"/>
  <c r="B54" i="50"/>
  <c r="E70" i="51"/>
  <c r="F70" i="51" s="1"/>
  <c r="G70" i="51" s="1"/>
  <c r="B70" i="51"/>
  <c r="E62" i="52"/>
  <c r="F62" i="52" s="1"/>
  <c r="G61" i="52"/>
  <c r="H61" i="52"/>
  <c r="G67" i="4"/>
  <c r="I67" i="4" s="1"/>
  <c r="D68" i="4"/>
  <c r="E68" i="4" s="1"/>
  <c r="F68" i="4" s="1"/>
  <c r="D69" i="4" s="1"/>
  <c r="B55" i="52"/>
  <c r="E69" i="5"/>
  <c r="F69" i="5" s="1"/>
  <c r="G69" i="5" s="1"/>
  <c r="B69" i="5"/>
  <c r="G61" i="44"/>
  <c r="I61" i="44" s="1"/>
  <c r="D62" i="44"/>
  <c r="B63" i="24"/>
  <c r="H68" i="5"/>
  <c r="G68" i="5"/>
  <c r="H61" i="28"/>
  <c r="I61" i="28" s="1"/>
  <c r="D62" i="28"/>
  <c r="E58" i="30"/>
  <c r="F58" i="30" s="1"/>
  <c r="B58" i="30"/>
  <c r="G66" i="3"/>
  <c r="I66" i="3" s="1"/>
  <c r="G69" i="9"/>
  <c r="I69" i="9" s="1"/>
  <c r="I68" i="9"/>
  <c r="B71" i="8"/>
  <c r="G71" i="8"/>
  <c r="H71" i="8"/>
  <c r="E72" i="8"/>
  <c r="E73" i="8" s="1"/>
  <c r="D70" i="9"/>
  <c r="E70" i="9" s="1"/>
  <c r="F70" i="9" s="1"/>
  <c r="I72" i="11"/>
  <c r="I73" i="11" s="1"/>
  <c r="H62" i="23"/>
  <c r="G63" i="24"/>
  <c r="E64" i="24"/>
  <c r="F64" i="24" s="1"/>
  <c r="D65" i="24" s="1"/>
  <c r="B64" i="24"/>
  <c r="I60" i="45"/>
  <c r="I59" i="31"/>
  <c r="I65" i="3"/>
  <c r="H63" i="24"/>
  <c r="D67" i="3"/>
  <c r="E67" i="3" s="1"/>
  <c r="F67" i="3" s="1"/>
  <c r="D68" i="3" s="1"/>
  <c r="I54" i="46"/>
  <c r="G62" i="23"/>
  <c r="E70" i="6"/>
  <c r="F70" i="6" s="1"/>
  <c r="D71" i="6" s="1"/>
  <c r="B70" i="6"/>
  <c r="D64" i="25"/>
  <c r="E64" i="25" s="1"/>
  <c r="F64" i="25" s="1"/>
  <c r="F55" i="46"/>
  <c r="H55" i="46" s="1"/>
  <c r="B55" i="46"/>
  <c r="D61" i="31"/>
  <c r="E61" i="31" s="1"/>
  <c r="F61" i="31" s="1"/>
  <c r="I69" i="6"/>
  <c r="B60" i="31"/>
  <c r="H60" i="31"/>
  <c r="G60" i="31"/>
  <c r="H63" i="25"/>
  <c r="I63" i="25" s="1"/>
  <c r="I61" i="29"/>
  <c r="E62" i="29"/>
  <c r="F62" i="29" s="1"/>
  <c r="B62" i="29"/>
  <c r="I56" i="39"/>
  <c r="E63" i="23"/>
  <c r="F63" i="23" s="1"/>
  <c r="G63" i="23" s="1"/>
  <c r="B63" i="23"/>
  <c r="G56" i="42"/>
  <c r="I65" i="22"/>
  <c r="H56" i="42"/>
  <c r="E55" i="40"/>
  <c r="F55" i="40" s="1"/>
  <c r="G55" i="40" s="1"/>
  <c r="B55" i="40"/>
  <c r="E55" i="43"/>
  <c r="F55" i="43" s="1"/>
  <c r="H55" i="43" s="1"/>
  <c r="B55" i="43"/>
  <c r="E57" i="42"/>
  <c r="F57" i="42" s="1"/>
  <c r="B57" i="42"/>
  <c r="E57" i="39"/>
  <c r="F57" i="39" s="1"/>
  <c r="H57" i="39" s="1"/>
  <c r="B57" i="39"/>
  <c r="H66" i="22"/>
  <c r="D67" i="22"/>
  <c r="E67" i="22" s="1"/>
  <c r="F67" i="22" s="1"/>
  <c r="B66" i="22"/>
  <c r="G66" i="22"/>
  <c r="G56" i="37"/>
  <c r="I56" i="37" s="1"/>
  <c r="D57" i="37"/>
  <c r="E61" i="45"/>
  <c r="F61" i="45" s="1"/>
  <c r="B61" i="45"/>
  <c r="B57" i="38"/>
  <c r="F57" i="38"/>
  <c r="H57" i="38" s="1"/>
  <c r="E55" i="41"/>
  <c r="F55" i="41" s="1"/>
  <c r="B55" i="41"/>
  <c r="I64" i="27" l="1"/>
  <c r="E65" i="27"/>
  <c r="F65" i="27" s="1"/>
  <c r="D66" i="27" s="1"/>
  <c r="B65" i="27"/>
  <c r="H65" i="27"/>
  <c r="H54" i="50"/>
  <c r="I54" i="50" s="1"/>
  <c r="D55" i="50"/>
  <c r="E55" i="50"/>
  <c r="F55" i="50" s="1"/>
  <c r="D56" i="50" s="1"/>
  <c r="H70" i="51"/>
  <c r="I70" i="51" s="1"/>
  <c r="D71" i="51"/>
  <c r="E71" i="51" s="1"/>
  <c r="F71" i="51" s="1"/>
  <c r="G62" i="52"/>
  <c r="D63" i="52"/>
  <c r="E63" i="52" s="1"/>
  <c r="H62" i="52"/>
  <c r="E69" i="4"/>
  <c r="F69" i="4" s="1"/>
  <c r="D70" i="4" s="1"/>
  <c r="B69" i="4"/>
  <c r="B68" i="4"/>
  <c r="G68" i="4"/>
  <c r="H68" i="4"/>
  <c r="I54" i="52"/>
  <c r="E62" i="44"/>
  <c r="F62" i="44" s="1"/>
  <c r="D63" i="44" s="1"/>
  <c r="B62" i="44"/>
  <c r="D70" i="5"/>
  <c r="E70" i="5" s="1"/>
  <c r="F70" i="5" s="1"/>
  <c r="H69" i="5"/>
  <c r="H58" i="30"/>
  <c r="D59" i="30"/>
  <c r="G58" i="30"/>
  <c r="B62" i="28"/>
  <c r="E62" i="28"/>
  <c r="F62" i="28" s="1"/>
  <c r="I71" i="8"/>
  <c r="I62" i="23"/>
  <c r="B70" i="9"/>
  <c r="H70" i="9"/>
  <c r="G70" i="9"/>
  <c r="D71" i="9"/>
  <c r="F72" i="8"/>
  <c r="G72" i="8" s="1"/>
  <c r="G73" i="8" s="1"/>
  <c r="G70" i="6"/>
  <c r="I63" i="24"/>
  <c r="H64" i="24"/>
  <c r="H63" i="23"/>
  <c r="I63" i="23" s="1"/>
  <c r="E68" i="3"/>
  <c r="F68" i="3" s="1"/>
  <c r="D69" i="3" s="1"/>
  <c r="B68" i="3"/>
  <c r="G64" i="24"/>
  <c r="H70" i="6"/>
  <c r="B67" i="3"/>
  <c r="G67" i="3"/>
  <c r="H67" i="3"/>
  <c r="E65" i="24"/>
  <c r="F65" i="24" s="1"/>
  <c r="H65" i="24" s="1"/>
  <c r="B65" i="24"/>
  <c r="G64" i="25"/>
  <c r="D65" i="25"/>
  <c r="B61" i="31"/>
  <c r="H61" i="31"/>
  <c r="G61" i="31"/>
  <c r="I56" i="42"/>
  <c r="E71" i="6"/>
  <c r="F71" i="6" s="1"/>
  <c r="D72" i="6" s="1"/>
  <c r="B71" i="6"/>
  <c r="G55" i="46"/>
  <c r="I55" i="46" s="1"/>
  <c r="D56" i="46"/>
  <c r="D62" i="31"/>
  <c r="E62" i="31" s="1"/>
  <c r="F62" i="31" s="1"/>
  <c r="I60" i="31"/>
  <c r="B64" i="25"/>
  <c r="H64" i="25"/>
  <c r="G62" i="29"/>
  <c r="D63" i="29"/>
  <c r="H62" i="29"/>
  <c r="D64" i="23"/>
  <c r="E64" i="23" s="1"/>
  <c r="F64" i="23" s="1"/>
  <c r="H67" i="22"/>
  <c r="D68" i="22"/>
  <c r="E68" i="22" s="1"/>
  <c r="F68" i="22" s="1"/>
  <c r="G57" i="42"/>
  <c r="D58" i="42"/>
  <c r="E58" i="42" s="1"/>
  <c r="H57" i="42"/>
  <c r="H55" i="41"/>
  <c r="D56" i="41"/>
  <c r="E56" i="41" s="1"/>
  <c r="G57" i="39"/>
  <c r="I57" i="39" s="1"/>
  <c r="D58" i="39"/>
  <c r="G55" i="43"/>
  <c r="I55" i="43" s="1"/>
  <c r="D56" i="43"/>
  <c r="H55" i="40"/>
  <c r="I55" i="40" s="1"/>
  <c r="D56" i="40"/>
  <c r="H61" i="45"/>
  <c r="D62" i="45"/>
  <c r="E62" i="45" s="1"/>
  <c r="F62" i="45" s="1"/>
  <c r="D63" i="45" s="1"/>
  <c r="G57" i="38"/>
  <c r="I57" i="38" s="1"/>
  <c r="D58" i="38"/>
  <c r="E57" i="37"/>
  <c r="F57" i="37" s="1"/>
  <c r="B57" i="37"/>
  <c r="B67" i="22"/>
  <c r="G67" i="22"/>
  <c r="G55" i="41"/>
  <c r="G61" i="45"/>
  <c r="I66" i="22"/>
  <c r="G65" i="27" l="1"/>
  <c r="I65" i="27" s="1"/>
  <c r="E66" i="27"/>
  <c r="F66" i="27" s="1"/>
  <c r="D67" i="27" s="1"/>
  <c r="G66" i="27"/>
  <c r="H66" i="27"/>
  <c r="I66" i="27" s="1"/>
  <c r="B66" i="27"/>
  <c r="E56" i="50"/>
  <c r="F56" i="50" s="1"/>
  <c r="G56" i="50" s="1"/>
  <c r="B56" i="50"/>
  <c r="G55" i="50"/>
  <c r="B55" i="50"/>
  <c r="H55" i="50"/>
  <c r="G71" i="51"/>
  <c r="D72" i="51"/>
  <c r="B71" i="51"/>
  <c r="H71" i="51"/>
  <c r="H69" i="4"/>
  <c r="F63" i="52"/>
  <c r="G69" i="4"/>
  <c r="I68" i="4"/>
  <c r="E70" i="4"/>
  <c r="F70" i="4" s="1"/>
  <c r="D71" i="4" s="1"/>
  <c r="B70" i="4"/>
  <c r="I55" i="52"/>
  <c r="G62" i="44"/>
  <c r="H62" i="44"/>
  <c r="B70" i="5"/>
  <c r="H70" i="5"/>
  <c r="E63" i="44"/>
  <c r="F63" i="44" s="1"/>
  <c r="D64" i="44" s="1"/>
  <c r="B63" i="44"/>
  <c r="B56" i="52"/>
  <c r="G70" i="5"/>
  <c r="D71" i="5"/>
  <c r="G62" i="28"/>
  <c r="D63" i="28"/>
  <c r="H62" i="28"/>
  <c r="I58" i="30"/>
  <c r="E59" i="30"/>
  <c r="F59" i="30" s="1"/>
  <c r="G59" i="30" s="1"/>
  <c r="B59" i="30"/>
  <c r="G65" i="24"/>
  <c r="I65" i="24" s="1"/>
  <c r="H68" i="3"/>
  <c r="H72" i="8"/>
  <c r="I72" i="8" s="1"/>
  <c r="I73" i="8" s="1"/>
  <c r="I64" i="25"/>
  <c r="G68" i="3"/>
  <c r="I70" i="6"/>
  <c r="I67" i="3"/>
  <c r="E71" i="9"/>
  <c r="F71" i="9" s="1"/>
  <c r="D72" i="9" s="1"/>
  <c r="B71" i="9"/>
  <c r="I70" i="9"/>
  <c r="H71" i="6"/>
  <c r="D66" i="24"/>
  <c r="E66" i="24" s="1"/>
  <c r="F66" i="24" s="1"/>
  <c r="D67" i="24" s="1"/>
  <c r="E69" i="3"/>
  <c r="F69" i="3" s="1"/>
  <c r="D70" i="3" s="1"/>
  <c r="B69" i="3"/>
  <c r="I64" i="24"/>
  <c r="G71" i="6"/>
  <c r="I62" i="29"/>
  <c r="G62" i="31"/>
  <c r="D63" i="31"/>
  <c r="E63" i="31" s="1"/>
  <c r="F63" i="31" s="1"/>
  <c r="D64" i="31" s="1"/>
  <c r="B64" i="31" s="1"/>
  <c r="I61" i="31"/>
  <c r="E72" i="6"/>
  <c r="E73" i="6" s="1"/>
  <c r="B72" i="6"/>
  <c r="B62" i="31"/>
  <c r="H62" i="31"/>
  <c r="E56" i="46"/>
  <c r="F56" i="46" s="1"/>
  <c r="B56" i="46"/>
  <c r="E65" i="25"/>
  <c r="F65" i="25" s="1"/>
  <c r="D66" i="25" s="1"/>
  <c r="B65" i="25"/>
  <c r="E63" i="29"/>
  <c r="F63" i="29" s="1"/>
  <c r="D64" i="29" s="1"/>
  <c r="B63" i="29"/>
  <c r="D65" i="23"/>
  <c r="E65" i="23" s="1"/>
  <c r="F65" i="23" s="1"/>
  <c r="D66" i="23" s="1"/>
  <c r="H64" i="23"/>
  <c r="G64" i="23"/>
  <c r="B64" i="23"/>
  <c r="I57" i="42"/>
  <c r="I55" i="41"/>
  <c r="D58" i="37"/>
  <c r="E58" i="37" s="1"/>
  <c r="G57" i="37"/>
  <c r="H68" i="22"/>
  <c r="D69" i="22"/>
  <c r="E69" i="22" s="1"/>
  <c r="F69" i="22" s="1"/>
  <c r="E56" i="40"/>
  <c r="F56" i="40" s="1"/>
  <c r="B56" i="40"/>
  <c r="B56" i="41"/>
  <c r="F56" i="41"/>
  <c r="H56" i="41" s="1"/>
  <c r="E58" i="38"/>
  <c r="F58" i="38" s="1"/>
  <c r="G58" i="38" s="1"/>
  <c r="B58" i="38"/>
  <c r="B58" i="42"/>
  <c r="F58" i="42"/>
  <c r="G58" i="42" s="1"/>
  <c r="I61" i="45"/>
  <c r="E56" i="43"/>
  <c r="F56" i="43" s="1"/>
  <c r="B56" i="43"/>
  <c r="E63" i="45"/>
  <c r="F63" i="45" s="1"/>
  <c r="B63" i="45"/>
  <c r="E58" i="39"/>
  <c r="F58" i="39" s="1"/>
  <c r="H58" i="39" s="1"/>
  <c r="B58" i="39"/>
  <c r="B68" i="22"/>
  <c r="G68" i="22"/>
  <c r="H57" i="37"/>
  <c r="B62" i="45"/>
  <c r="G62" i="45"/>
  <c r="H62" i="45"/>
  <c r="I67" i="22"/>
  <c r="I55" i="50" l="1"/>
  <c r="H56" i="50"/>
  <c r="E67" i="27"/>
  <c r="F67" i="27" s="1"/>
  <c r="D68" i="27" s="1"/>
  <c r="B67" i="27"/>
  <c r="I71" i="51"/>
  <c r="I56" i="50"/>
  <c r="D57" i="50"/>
  <c r="E57" i="50" s="1"/>
  <c r="F57" i="50" s="1"/>
  <c r="I69" i="4"/>
  <c r="E72" i="51"/>
  <c r="E73" i="51" s="1"/>
  <c r="F72" i="51"/>
  <c r="G72" i="51" s="1"/>
  <c r="G73" i="51" s="1"/>
  <c r="B72" i="51"/>
  <c r="H70" i="4"/>
  <c r="I62" i="44"/>
  <c r="G63" i="52"/>
  <c r="D64" i="52"/>
  <c r="H63" i="52"/>
  <c r="G70" i="4"/>
  <c r="E71" i="4"/>
  <c r="F71" i="4" s="1"/>
  <c r="D72" i="4" s="1"/>
  <c r="B71" i="4"/>
  <c r="E64" i="44"/>
  <c r="F64" i="44" s="1"/>
  <c r="G64" i="44" s="1"/>
  <c r="B64" i="44"/>
  <c r="G63" i="44"/>
  <c r="E71" i="5"/>
  <c r="F71" i="5" s="1"/>
  <c r="D72" i="5" s="1"/>
  <c r="B71" i="5"/>
  <c r="H63" i="44"/>
  <c r="H73" i="8"/>
  <c r="H59" i="30"/>
  <c r="I59" i="30" s="1"/>
  <c r="D60" i="30"/>
  <c r="I68" i="3"/>
  <c r="I62" i="28"/>
  <c r="E63" i="28"/>
  <c r="F63" i="28" s="1"/>
  <c r="D64" i="28" s="1"/>
  <c r="B63" i="28"/>
  <c r="I62" i="31"/>
  <c r="I71" i="6"/>
  <c r="H69" i="3"/>
  <c r="G69" i="3"/>
  <c r="H71" i="9"/>
  <c r="I62" i="45"/>
  <c r="G63" i="29"/>
  <c r="G71" i="9"/>
  <c r="E72" i="9"/>
  <c r="E73" i="9" s="1"/>
  <c r="B72" i="9"/>
  <c r="F58" i="37"/>
  <c r="D59" i="37" s="1"/>
  <c r="B59" i="37" s="1"/>
  <c r="B58" i="37"/>
  <c r="G65" i="25"/>
  <c r="H65" i="25"/>
  <c r="E70" i="3"/>
  <c r="F70" i="3" s="1"/>
  <c r="G70" i="3" s="1"/>
  <c r="B70" i="3"/>
  <c r="E67" i="24"/>
  <c r="F67" i="24" s="1"/>
  <c r="D68" i="24" s="1"/>
  <c r="B67" i="24"/>
  <c r="H63" i="29"/>
  <c r="F72" i="6"/>
  <c r="B66" i="24"/>
  <c r="G66" i="24"/>
  <c r="H66" i="24"/>
  <c r="I57" i="37"/>
  <c r="E64" i="31"/>
  <c r="F64" i="31" s="1"/>
  <c r="D65" i="31" s="1"/>
  <c r="B65" i="31" s="1"/>
  <c r="D57" i="46"/>
  <c r="E57" i="46" s="1"/>
  <c r="G56" i="46"/>
  <c r="H56" i="46"/>
  <c r="E66" i="25"/>
  <c r="F66" i="25" s="1"/>
  <c r="D67" i="25" s="1"/>
  <c r="B66" i="25"/>
  <c r="B63" i="31"/>
  <c r="G63" i="31"/>
  <c r="H63" i="31"/>
  <c r="E64" i="29"/>
  <c r="F64" i="29" s="1"/>
  <c r="B64" i="29"/>
  <c r="E66" i="23"/>
  <c r="F66" i="23" s="1"/>
  <c r="G66" i="23" s="1"/>
  <c r="B66" i="23"/>
  <c r="I64" i="23"/>
  <c r="G65" i="23"/>
  <c r="H65" i="23"/>
  <c r="B65" i="23"/>
  <c r="D57" i="43"/>
  <c r="H56" i="43"/>
  <c r="G56" i="43"/>
  <c r="H56" i="40"/>
  <c r="D57" i="40"/>
  <c r="E57" i="40" s="1"/>
  <c r="G56" i="40"/>
  <c r="B69" i="22"/>
  <c r="G69" i="22"/>
  <c r="H63" i="45"/>
  <c r="D64" i="45"/>
  <c r="H69" i="22"/>
  <c r="D70" i="22"/>
  <c r="E70" i="22" s="1"/>
  <c r="F70" i="22" s="1"/>
  <c r="G58" i="39"/>
  <c r="I58" i="39" s="1"/>
  <c r="D59" i="39"/>
  <c r="I68" i="22"/>
  <c r="G56" i="41"/>
  <c r="I56" i="41" s="1"/>
  <c r="D57" i="41"/>
  <c r="H58" i="38"/>
  <c r="I58" i="38" s="1"/>
  <c r="D59" i="38"/>
  <c r="E59" i="38" s="1"/>
  <c r="H58" i="42"/>
  <c r="I58" i="42" s="1"/>
  <c r="D59" i="42"/>
  <c r="G63" i="45"/>
  <c r="G67" i="27" l="1"/>
  <c r="H67" i="27"/>
  <c r="I67" i="27" s="1"/>
  <c r="E68" i="27"/>
  <c r="F68" i="27" s="1"/>
  <c r="D69" i="27" s="1"/>
  <c r="B68" i="27"/>
  <c r="G68" i="27"/>
  <c r="H68" i="27"/>
  <c r="D58" i="50"/>
  <c r="E58" i="50" s="1"/>
  <c r="F58" i="50" s="1"/>
  <c r="B57" i="50"/>
  <c r="G57" i="50"/>
  <c r="H57" i="50"/>
  <c r="I57" i="50" s="1"/>
  <c r="H72" i="51"/>
  <c r="I72" i="51"/>
  <c r="I73" i="51" s="1"/>
  <c r="H73" i="51"/>
  <c r="I70" i="4"/>
  <c r="E64" i="52"/>
  <c r="F64" i="52" s="1"/>
  <c r="D65" i="52" s="1"/>
  <c r="H71" i="4"/>
  <c r="G71" i="4"/>
  <c r="E72" i="4"/>
  <c r="E73" i="4" s="1"/>
  <c r="B72" i="4"/>
  <c r="H71" i="5"/>
  <c r="H64" i="44"/>
  <c r="I64" i="44" s="1"/>
  <c r="G71" i="5"/>
  <c r="B57" i="52"/>
  <c r="I56" i="52"/>
  <c r="I63" i="44"/>
  <c r="I65" i="25"/>
  <c r="E72" i="5"/>
  <c r="E73" i="5" s="1"/>
  <c r="B72" i="5"/>
  <c r="D65" i="44"/>
  <c r="E65" i="44" s="1"/>
  <c r="F65" i="44" s="1"/>
  <c r="H63" i="28"/>
  <c r="I69" i="3"/>
  <c r="E64" i="28"/>
  <c r="F64" i="28" s="1"/>
  <c r="G64" i="28" s="1"/>
  <c r="B64" i="28"/>
  <c r="E60" i="30"/>
  <c r="F60" i="30" s="1"/>
  <c r="B60" i="30"/>
  <c r="G63" i="28"/>
  <c r="I71" i="9"/>
  <c r="I63" i="29"/>
  <c r="I66" i="24"/>
  <c r="E65" i="31"/>
  <c r="F65" i="31" s="1"/>
  <c r="D66" i="31" s="1"/>
  <c r="B66" i="31" s="1"/>
  <c r="F72" i="9"/>
  <c r="G72" i="9" s="1"/>
  <c r="G73" i="9" s="1"/>
  <c r="H70" i="3"/>
  <c r="I70" i="3" s="1"/>
  <c r="G66" i="25"/>
  <c r="G58" i="37"/>
  <c r="H58" i="37"/>
  <c r="E59" i="37"/>
  <c r="F59" i="37" s="1"/>
  <c r="G59" i="37" s="1"/>
  <c r="G64" i="31"/>
  <c r="H64" i="31"/>
  <c r="G67" i="24"/>
  <c r="E68" i="24"/>
  <c r="F68" i="24" s="1"/>
  <c r="D69" i="24" s="1"/>
  <c r="B68" i="24"/>
  <c r="H66" i="25"/>
  <c r="H72" i="6"/>
  <c r="G72" i="6"/>
  <c r="G73" i="6" s="1"/>
  <c r="D71" i="3"/>
  <c r="E71" i="3" s="1"/>
  <c r="F71" i="3" s="1"/>
  <c r="D72" i="3" s="1"/>
  <c r="H67" i="24"/>
  <c r="I65" i="23"/>
  <c r="I63" i="31"/>
  <c r="I56" i="46"/>
  <c r="H66" i="23"/>
  <c r="I66" i="23" s="1"/>
  <c r="E67" i="25"/>
  <c r="F67" i="25" s="1"/>
  <c r="D68" i="25" s="1"/>
  <c r="B67" i="25"/>
  <c r="B57" i="46"/>
  <c r="F57" i="46"/>
  <c r="H57" i="46" s="1"/>
  <c r="I56" i="40"/>
  <c r="I63" i="45"/>
  <c r="D65" i="29"/>
  <c r="E65" i="29" s="1"/>
  <c r="F65" i="29" s="1"/>
  <c r="D66" i="29" s="1"/>
  <c r="G64" i="29"/>
  <c r="I69" i="22"/>
  <c r="H64" i="29"/>
  <c r="D67" i="23"/>
  <c r="E67" i="23" s="1"/>
  <c r="F67" i="23" s="1"/>
  <c r="I56" i="43"/>
  <c r="E64" i="45"/>
  <c r="F64" i="45" s="1"/>
  <c r="G64" i="45" s="1"/>
  <c r="B64" i="45"/>
  <c r="E59" i="42"/>
  <c r="F59" i="42" s="1"/>
  <c r="B59" i="42"/>
  <c r="B59" i="38"/>
  <c r="F59" i="38"/>
  <c r="G59" i="38" s="1"/>
  <c r="H70" i="22"/>
  <c r="D71" i="22"/>
  <c r="E71" i="22" s="1"/>
  <c r="F71" i="22" s="1"/>
  <c r="E59" i="39"/>
  <c r="F59" i="39" s="1"/>
  <c r="B59" i="39"/>
  <c r="B70" i="22"/>
  <c r="G70" i="22"/>
  <c r="E57" i="41"/>
  <c r="F57" i="41" s="1"/>
  <c r="D58" i="41" s="1"/>
  <c r="B57" i="41"/>
  <c r="E57" i="43"/>
  <c r="F57" i="43" s="1"/>
  <c r="H57" i="43" s="1"/>
  <c r="B57" i="43"/>
  <c r="B57" i="40"/>
  <c r="F57" i="40"/>
  <c r="I68" i="27" l="1"/>
  <c r="E69" i="27"/>
  <c r="F69" i="27" s="1"/>
  <c r="D70" i="27" s="1"/>
  <c r="B69" i="27"/>
  <c r="G69" i="27"/>
  <c r="H69" i="27"/>
  <c r="D59" i="50"/>
  <c r="E59" i="50" s="1"/>
  <c r="F59" i="50" s="1"/>
  <c r="B58" i="50"/>
  <c r="G58" i="50"/>
  <c r="H58" i="50"/>
  <c r="I71" i="4"/>
  <c r="H64" i="52"/>
  <c r="G64" i="52"/>
  <c r="F72" i="4"/>
  <c r="H72" i="4" s="1"/>
  <c r="H73" i="4" s="1"/>
  <c r="E65" i="52"/>
  <c r="F65" i="52" s="1"/>
  <c r="D66" i="52" s="1"/>
  <c r="I57" i="52"/>
  <c r="I63" i="28"/>
  <c r="F72" i="5"/>
  <c r="D66" i="44"/>
  <c r="E66" i="44" s="1"/>
  <c r="F66" i="44" s="1"/>
  <c r="B65" i="44"/>
  <c r="G65" i="44"/>
  <c r="H65" i="44"/>
  <c r="B58" i="52"/>
  <c r="H65" i="31"/>
  <c r="H64" i="28"/>
  <c r="I64" i="28" s="1"/>
  <c r="G60" i="30"/>
  <c r="D61" i="30"/>
  <c r="G65" i="31"/>
  <c r="H60" i="30"/>
  <c r="D65" i="28"/>
  <c r="E65" i="28" s="1"/>
  <c r="F65" i="28" s="1"/>
  <c r="D66" i="28" s="1"/>
  <c r="E66" i="28" s="1"/>
  <c r="F66" i="28" s="1"/>
  <c r="D67" i="28" s="1"/>
  <c r="E67" i="28" s="1"/>
  <c r="F67" i="28" s="1"/>
  <c r="E66" i="31"/>
  <c r="F66" i="31" s="1"/>
  <c r="D67" i="31" s="1"/>
  <c r="B67" i="31" s="1"/>
  <c r="I66" i="25"/>
  <c r="I64" i="31"/>
  <c r="H72" i="9"/>
  <c r="I58" i="37"/>
  <c r="H68" i="24"/>
  <c r="D60" i="37"/>
  <c r="E60" i="37" s="1"/>
  <c r="F60" i="37" s="1"/>
  <c r="H60" i="37" s="1"/>
  <c r="H59" i="37"/>
  <c r="I59" i="37" s="1"/>
  <c r="I67" i="24"/>
  <c r="G68" i="24"/>
  <c r="E72" i="3"/>
  <c r="E73" i="3" s="1"/>
  <c r="B72" i="3"/>
  <c r="E69" i="24"/>
  <c r="F69" i="24" s="1"/>
  <c r="G69" i="24" s="1"/>
  <c r="B69" i="24"/>
  <c r="B71" i="3"/>
  <c r="H71" i="3"/>
  <c r="G71" i="3"/>
  <c r="H73" i="6"/>
  <c r="I72" i="6"/>
  <c r="I73" i="6" s="1"/>
  <c r="H67" i="25"/>
  <c r="G67" i="25"/>
  <c r="G57" i="46"/>
  <c r="I57" i="46" s="1"/>
  <c r="D58" i="46"/>
  <c r="E68" i="25"/>
  <c r="F68" i="25" s="1"/>
  <c r="D69" i="25" s="1"/>
  <c r="B68" i="25"/>
  <c r="E66" i="29"/>
  <c r="F66" i="29" s="1"/>
  <c r="G66" i="29" s="1"/>
  <c r="B66" i="29"/>
  <c r="I64" i="29"/>
  <c r="B65" i="29"/>
  <c r="H65" i="29"/>
  <c r="G65" i="29"/>
  <c r="D68" i="23"/>
  <c r="E68" i="23" s="1"/>
  <c r="F68" i="23" s="1"/>
  <c r="B67" i="23"/>
  <c r="G67" i="23"/>
  <c r="H67" i="23"/>
  <c r="G57" i="41"/>
  <c r="H59" i="42"/>
  <c r="D60" i="42"/>
  <c r="G59" i="42"/>
  <c r="H59" i="39"/>
  <c r="D60" i="39"/>
  <c r="G59" i="39"/>
  <c r="H57" i="41"/>
  <c r="H59" i="38"/>
  <c r="I59" i="38" s="1"/>
  <c r="D60" i="38"/>
  <c r="E58" i="41"/>
  <c r="F58" i="41" s="1"/>
  <c r="B58" i="41"/>
  <c r="G57" i="40"/>
  <c r="D58" i="40"/>
  <c r="E58" i="40" s="1"/>
  <c r="H71" i="22"/>
  <c r="D72" i="22"/>
  <c r="E72" i="22" s="1"/>
  <c r="E73" i="22" s="1"/>
  <c r="G57" i="43"/>
  <c r="I57" i="43" s="1"/>
  <c r="D58" i="43"/>
  <c r="H57" i="40"/>
  <c r="B71" i="22"/>
  <c r="G71" i="22"/>
  <c r="H64" i="45"/>
  <c r="I64" i="45" s="1"/>
  <c r="D65" i="45"/>
  <c r="E65" i="45" s="1"/>
  <c r="F65" i="45" s="1"/>
  <c r="I70" i="22"/>
  <c r="I69" i="27" l="1"/>
  <c r="I58" i="50"/>
  <c r="E70" i="27"/>
  <c r="F70" i="27" s="1"/>
  <c r="G70" i="27"/>
  <c r="H70" i="27"/>
  <c r="I70" i="27" s="1"/>
  <c r="B70" i="27"/>
  <c r="D60" i="50"/>
  <c r="E60" i="50" s="1"/>
  <c r="F60" i="50" s="1"/>
  <c r="B59" i="50"/>
  <c r="H59" i="50"/>
  <c r="G59" i="50"/>
  <c r="G72" i="4"/>
  <c r="G73" i="4" s="1"/>
  <c r="G65" i="52"/>
  <c r="H65" i="52"/>
  <c r="E66" i="52"/>
  <c r="F66" i="52" s="1"/>
  <c r="D67" i="52" s="1"/>
  <c r="I65" i="44"/>
  <c r="G72" i="5"/>
  <c r="G73" i="5" s="1"/>
  <c r="H72" i="5"/>
  <c r="H73" i="5" s="1"/>
  <c r="D67" i="44"/>
  <c r="E67" i="44" s="1"/>
  <c r="F67" i="44" s="1"/>
  <c r="B59" i="52"/>
  <c r="I65" i="31"/>
  <c r="B66" i="44"/>
  <c r="G66" i="44"/>
  <c r="H66" i="44"/>
  <c r="E67" i="31"/>
  <c r="F67" i="31" s="1"/>
  <c r="D68" i="31" s="1"/>
  <c r="B68" i="31" s="1"/>
  <c r="G66" i="31"/>
  <c r="H66" i="31"/>
  <c r="I60" i="30"/>
  <c r="B66" i="28"/>
  <c r="G66" i="28"/>
  <c r="E61" i="30"/>
  <c r="F61" i="30" s="1"/>
  <c r="D62" i="30" s="1"/>
  <c r="B61" i="30"/>
  <c r="B65" i="28"/>
  <c r="G65" i="28"/>
  <c r="H65" i="28"/>
  <c r="H66" i="28"/>
  <c r="B60" i="37"/>
  <c r="I68" i="24"/>
  <c r="H69" i="24"/>
  <c r="I69" i="24" s="1"/>
  <c r="H73" i="9"/>
  <c r="I72" i="9"/>
  <c r="I73" i="9" s="1"/>
  <c r="F72" i="3"/>
  <c r="H72" i="3" s="1"/>
  <c r="H73" i="3" s="1"/>
  <c r="I67" i="25"/>
  <c r="I65" i="29"/>
  <c r="I71" i="3"/>
  <c r="D70" i="24"/>
  <c r="E70" i="24" s="1"/>
  <c r="F70" i="24" s="1"/>
  <c r="D71" i="24" s="1"/>
  <c r="I57" i="41"/>
  <c r="H66" i="29"/>
  <c r="I66" i="29" s="1"/>
  <c r="H68" i="25"/>
  <c r="G68" i="25"/>
  <c r="E69" i="25"/>
  <c r="F69" i="25" s="1"/>
  <c r="D70" i="25" s="1"/>
  <c r="B69" i="25"/>
  <c r="E58" i="46"/>
  <c r="F58" i="46" s="1"/>
  <c r="B58" i="46"/>
  <c r="I67" i="23"/>
  <c r="D67" i="29"/>
  <c r="G68" i="23"/>
  <c r="D69" i="23"/>
  <c r="E69" i="23" s="1"/>
  <c r="F69" i="23" s="1"/>
  <c r="B68" i="23"/>
  <c r="H68" i="23"/>
  <c r="I59" i="42"/>
  <c r="D66" i="45"/>
  <c r="E66" i="45" s="1"/>
  <c r="F66" i="45" s="1"/>
  <c r="D67" i="45" s="1"/>
  <c r="H67" i="28"/>
  <c r="D68" i="28"/>
  <c r="E68" i="28" s="1"/>
  <c r="F68" i="28" s="1"/>
  <c r="G58" i="41"/>
  <c r="D59" i="41"/>
  <c r="H58" i="41"/>
  <c r="E60" i="38"/>
  <c r="F60" i="38" s="1"/>
  <c r="H60" i="38" s="1"/>
  <c r="B60" i="38"/>
  <c r="E60" i="39"/>
  <c r="F60" i="39" s="1"/>
  <c r="B60" i="39"/>
  <c r="B72" i="22"/>
  <c r="F72" i="22"/>
  <c r="H72" i="22" s="1"/>
  <c r="F58" i="40"/>
  <c r="G58" i="40" s="1"/>
  <c r="B58" i="40"/>
  <c r="I71" i="22"/>
  <c r="E60" i="42"/>
  <c r="F60" i="42" s="1"/>
  <c r="H60" i="42" s="1"/>
  <c r="B60" i="42"/>
  <c r="B65" i="45"/>
  <c r="H65" i="45"/>
  <c r="G65" i="45"/>
  <c r="B67" i="28"/>
  <c r="G67" i="28"/>
  <c r="E58" i="43"/>
  <c r="F58" i="43" s="1"/>
  <c r="B58" i="43"/>
  <c r="G60" i="37"/>
  <c r="I60" i="37" s="1"/>
  <c r="D61" i="37"/>
  <c r="I57" i="40"/>
  <c r="I59" i="39"/>
  <c r="D71" i="27" l="1"/>
  <c r="E71" i="27" s="1"/>
  <c r="F71" i="27" s="1"/>
  <c r="D72" i="27" s="1"/>
  <c r="I59" i="50"/>
  <c r="I72" i="4"/>
  <c r="I73" i="4" s="1"/>
  <c r="D61" i="50"/>
  <c r="E61" i="50" s="1"/>
  <c r="F61" i="50" s="1"/>
  <c r="D62" i="50" s="1"/>
  <c r="B62" i="50" s="1"/>
  <c r="B60" i="50"/>
  <c r="G60" i="50"/>
  <c r="H60" i="50"/>
  <c r="H66" i="52"/>
  <c r="G66" i="52"/>
  <c r="E67" i="52"/>
  <c r="F67" i="52" s="1"/>
  <c r="H67" i="52" s="1"/>
  <c r="E68" i="31"/>
  <c r="F68" i="31" s="1"/>
  <c r="D69" i="31" s="1"/>
  <c r="E69" i="31" s="1"/>
  <c r="F69" i="31" s="1"/>
  <c r="D70" i="31" s="1"/>
  <c r="G67" i="31"/>
  <c r="I66" i="31"/>
  <c r="H67" i="31"/>
  <c r="I66" i="44"/>
  <c r="I66" i="28"/>
  <c r="I59" i="52"/>
  <c r="I58" i="52"/>
  <c r="D68" i="44"/>
  <c r="E68" i="44" s="1"/>
  <c r="F68" i="44" s="1"/>
  <c r="B67" i="44"/>
  <c r="G67" i="44"/>
  <c r="H67" i="44"/>
  <c r="H61" i="30"/>
  <c r="I65" i="28"/>
  <c r="G61" i="30"/>
  <c r="E62" i="30"/>
  <c r="F62" i="30" s="1"/>
  <c r="D63" i="30" s="1"/>
  <c r="B62" i="30"/>
  <c r="G72" i="3"/>
  <c r="G73" i="3" s="1"/>
  <c r="H69" i="25"/>
  <c r="I68" i="23"/>
  <c r="E71" i="24"/>
  <c r="F71" i="24" s="1"/>
  <c r="D72" i="24" s="1"/>
  <c r="B71" i="24"/>
  <c r="H70" i="24"/>
  <c r="G70" i="24"/>
  <c r="B70" i="24"/>
  <c r="G69" i="25"/>
  <c r="H58" i="46"/>
  <c r="D59" i="46"/>
  <c r="G58" i="46"/>
  <c r="E70" i="25"/>
  <c r="F70" i="25" s="1"/>
  <c r="D71" i="25" s="1"/>
  <c r="B70" i="25"/>
  <c r="I68" i="25"/>
  <c r="B67" i="29"/>
  <c r="E67" i="29"/>
  <c r="F67" i="29" s="1"/>
  <c r="D68" i="29" s="1"/>
  <c r="D70" i="23"/>
  <c r="E70" i="23" s="1"/>
  <c r="F70" i="23" s="1"/>
  <c r="G69" i="23"/>
  <c r="B69" i="23"/>
  <c r="H69" i="23"/>
  <c r="H58" i="43"/>
  <c r="D59" i="43"/>
  <c r="G58" i="43"/>
  <c r="E61" i="37"/>
  <c r="F61" i="37" s="1"/>
  <c r="H61" i="37" s="1"/>
  <c r="B61" i="37"/>
  <c r="E59" i="41"/>
  <c r="F59" i="41" s="1"/>
  <c r="G59" i="41" s="1"/>
  <c r="B59" i="41"/>
  <c r="H68" i="28"/>
  <c r="D69" i="28"/>
  <c r="E69" i="28" s="1"/>
  <c r="F69" i="28" s="1"/>
  <c r="H58" i="40"/>
  <c r="I58" i="40" s="1"/>
  <c r="D59" i="40"/>
  <c r="B68" i="28"/>
  <c r="G68" i="28"/>
  <c r="G60" i="42"/>
  <c r="I60" i="42" s="1"/>
  <c r="D61" i="42"/>
  <c r="G72" i="22"/>
  <c r="G73" i="22" s="1"/>
  <c r="G60" i="38"/>
  <c r="I60" i="38" s="1"/>
  <c r="D61" i="38"/>
  <c r="I67" i="28"/>
  <c r="H73" i="22"/>
  <c r="I65" i="45"/>
  <c r="E67" i="45"/>
  <c r="F67" i="45" s="1"/>
  <c r="B67" i="45"/>
  <c r="G60" i="39"/>
  <c r="D61" i="39"/>
  <c r="H60" i="39"/>
  <c r="I58" i="41"/>
  <c r="B66" i="45"/>
  <c r="H66" i="45"/>
  <c r="G66" i="45"/>
  <c r="I60" i="50" l="1"/>
  <c r="E72" i="27"/>
  <c r="E73" i="27" s="1"/>
  <c r="B72" i="27"/>
  <c r="F72" i="27"/>
  <c r="H72" i="27" s="1"/>
  <c r="G72" i="27"/>
  <c r="I72" i="27" s="1"/>
  <c r="B71" i="27"/>
  <c r="H71" i="27"/>
  <c r="G71" i="27"/>
  <c r="B61" i="50"/>
  <c r="H61" i="50"/>
  <c r="G61" i="50"/>
  <c r="E62" i="50"/>
  <c r="F62" i="50" s="1"/>
  <c r="H62" i="50" s="1"/>
  <c r="G67" i="52"/>
  <c r="D63" i="50"/>
  <c r="B69" i="31"/>
  <c r="D68" i="52"/>
  <c r="I67" i="31"/>
  <c r="H68" i="31"/>
  <c r="G68" i="31"/>
  <c r="I67" i="44"/>
  <c r="G62" i="30"/>
  <c r="B68" i="44"/>
  <c r="G68" i="44"/>
  <c r="H68" i="44"/>
  <c r="B60" i="52"/>
  <c r="D69" i="44"/>
  <c r="E69" i="44" s="1"/>
  <c r="F69" i="44" s="1"/>
  <c r="I61" i="30"/>
  <c r="H62" i="30"/>
  <c r="E63" i="30"/>
  <c r="F63" i="30" s="1"/>
  <c r="G63" i="30" s="1"/>
  <c r="B63" i="30"/>
  <c r="I72" i="3"/>
  <c r="I73" i="3" s="1"/>
  <c r="H70" i="25"/>
  <c r="G70" i="25"/>
  <c r="I58" i="46"/>
  <c r="I69" i="25"/>
  <c r="G69" i="31"/>
  <c r="H69" i="31"/>
  <c r="I69" i="23"/>
  <c r="I70" i="24"/>
  <c r="H71" i="24"/>
  <c r="G71" i="24"/>
  <c r="E72" i="24"/>
  <c r="E73" i="24" s="1"/>
  <c r="B72" i="24"/>
  <c r="G67" i="29"/>
  <c r="E71" i="25"/>
  <c r="F71" i="25" s="1"/>
  <c r="D72" i="25" s="1"/>
  <c r="B71" i="25"/>
  <c r="E59" i="46"/>
  <c r="F59" i="46" s="1"/>
  <c r="B59" i="46"/>
  <c r="H67" i="29"/>
  <c r="E70" i="31"/>
  <c r="F70" i="31" s="1"/>
  <c r="D71" i="31" s="1"/>
  <c r="B70" i="31"/>
  <c r="E68" i="29"/>
  <c r="F68" i="29" s="1"/>
  <c r="H68" i="29" s="1"/>
  <c r="B68" i="29"/>
  <c r="D68" i="45"/>
  <c r="B68" i="45" s="1"/>
  <c r="H67" i="45"/>
  <c r="G70" i="23"/>
  <c r="D71" i="23"/>
  <c r="B70" i="23"/>
  <c r="H70" i="23"/>
  <c r="I68" i="28"/>
  <c r="E61" i="39"/>
  <c r="F61" i="39" s="1"/>
  <c r="B61" i="39"/>
  <c r="E61" i="38"/>
  <c r="F61" i="38" s="1"/>
  <c r="B61" i="38"/>
  <c r="B69" i="28"/>
  <c r="G69" i="28"/>
  <c r="I66" i="45"/>
  <c r="G67" i="45"/>
  <c r="G61" i="37"/>
  <c r="I61" i="37" s="1"/>
  <c r="D62" i="37"/>
  <c r="I58" i="43"/>
  <c r="E59" i="40"/>
  <c r="F59" i="40" s="1"/>
  <c r="B59" i="40"/>
  <c r="I72" i="22"/>
  <c r="I73" i="22" s="1"/>
  <c r="E59" i="43"/>
  <c r="F59" i="43" s="1"/>
  <c r="H59" i="43" s="1"/>
  <c r="B59" i="43"/>
  <c r="I60" i="39"/>
  <c r="E61" i="42"/>
  <c r="F61" i="42" s="1"/>
  <c r="B61" i="42"/>
  <c r="H69" i="28"/>
  <c r="D70" i="28"/>
  <c r="E70" i="28" s="1"/>
  <c r="F70" i="28" s="1"/>
  <c r="H59" i="41"/>
  <c r="I59" i="41" s="1"/>
  <c r="D60" i="41"/>
  <c r="G62" i="50" l="1"/>
  <c r="I71" i="27"/>
  <c r="I73" i="27" s="1"/>
  <c r="H73" i="27"/>
  <c r="G73" i="27"/>
  <c r="I61" i="50"/>
  <c r="I62" i="50"/>
  <c r="E63" i="50"/>
  <c r="F63" i="50" s="1"/>
  <c r="B63" i="50"/>
  <c r="E68" i="52"/>
  <c r="F68" i="52" s="1"/>
  <c r="I68" i="31"/>
  <c r="I62" i="30"/>
  <c r="H63" i="30"/>
  <c r="I63" i="30" s="1"/>
  <c r="B69" i="44"/>
  <c r="H69" i="44"/>
  <c r="G69" i="44"/>
  <c r="D70" i="44"/>
  <c r="I68" i="44"/>
  <c r="I60" i="52"/>
  <c r="D64" i="30"/>
  <c r="E64" i="30" s="1"/>
  <c r="F64" i="30" s="1"/>
  <c r="I70" i="25"/>
  <c r="I69" i="31"/>
  <c r="H71" i="25"/>
  <c r="F72" i="24"/>
  <c r="H72" i="24" s="1"/>
  <c r="H73" i="24" s="1"/>
  <c r="I67" i="29"/>
  <c r="I71" i="24"/>
  <c r="H70" i="31"/>
  <c r="G71" i="25"/>
  <c r="G70" i="31"/>
  <c r="E68" i="45"/>
  <c r="F68" i="45" s="1"/>
  <c r="D69" i="45" s="1"/>
  <c r="E69" i="45" s="1"/>
  <c r="F69" i="45" s="1"/>
  <c r="D70" i="45" s="1"/>
  <c r="G59" i="46"/>
  <c r="D60" i="46"/>
  <c r="E72" i="25"/>
  <c r="E73" i="25" s="1"/>
  <c r="B72" i="25"/>
  <c r="I67" i="45"/>
  <c r="H59" i="46"/>
  <c r="D69" i="29"/>
  <c r="E69" i="29" s="1"/>
  <c r="F69" i="29" s="1"/>
  <c r="D70" i="29" s="1"/>
  <c r="E71" i="31"/>
  <c r="F71" i="31" s="1"/>
  <c r="D72" i="31" s="1"/>
  <c r="B71" i="31"/>
  <c r="G68" i="29"/>
  <c r="I68" i="29" s="1"/>
  <c r="D62" i="39"/>
  <c r="B62" i="39" s="1"/>
  <c r="H61" i="39"/>
  <c r="I70" i="23"/>
  <c r="E71" i="23"/>
  <c r="F71" i="23" s="1"/>
  <c r="G71" i="23" s="1"/>
  <c r="B71" i="23"/>
  <c r="G61" i="38"/>
  <c r="D62" i="38"/>
  <c r="H61" i="38"/>
  <c r="G59" i="40"/>
  <c r="D60" i="40"/>
  <c r="H59" i="40"/>
  <c r="G70" i="28"/>
  <c r="D71" i="28"/>
  <c r="E71" i="28" s="1"/>
  <c r="F71" i="28" s="1"/>
  <c r="H61" i="42"/>
  <c r="D62" i="42"/>
  <c r="G61" i="42"/>
  <c r="G61" i="39"/>
  <c r="E60" i="41"/>
  <c r="F60" i="41" s="1"/>
  <c r="B60" i="41"/>
  <c r="B70" i="28"/>
  <c r="H70" i="28"/>
  <c r="I69" i="28"/>
  <c r="G59" i="43"/>
  <c r="I59" i="43" s="1"/>
  <c r="D60" i="43"/>
  <c r="E62" i="37"/>
  <c r="F62" i="37" s="1"/>
  <c r="B62" i="37"/>
  <c r="D64" i="50" l="1"/>
  <c r="G63" i="50"/>
  <c r="H63" i="50"/>
  <c r="E64" i="50"/>
  <c r="F64" i="50" s="1"/>
  <c r="D69" i="52"/>
  <c r="E69" i="52" s="1"/>
  <c r="F69" i="52" s="1"/>
  <c r="D70" i="52" s="1"/>
  <c r="G68" i="52"/>
  <c r="H68" i="52"/>
  <c r="B70" i="44"/>
  <c r="I69" i="44"/>
  <c r="B61" i="52"/>
  <c r="E70" i="44"/>
  <c r="F70" i="44" s="1"/>
  <c r="G64" i="30"/>
  <c r="D65" i="30"/>
  <c r="B64" i="30"/>
  <c r="H64" i="30"/>
  <c r="G72" i="24"/>
  <c r="G73" i="24" s="1"/>
  <c r="I71" i="25"/>
  <c r="I59" i="46"/>
  <c r="F72" i="25"/>
  <c r="H72" i="25" s="1"/>
  <c r="H71" i="23"/>
  <c r="I71" i="23" s="1"/>
  <c r="I70" i="31"/>
  <c r="I70" i="28"/>
  <c r="G68" i="45"/>
  <c r="H68" i="45"/>
  <c r="I61" i="39"/>
  <c r="E62" i="39"/>
  <c r="F62" i="39" s="1"/>
  <c r="G62" i="39" s="1"/>
  <c r="H73" i="25"/>
  <c r="E60" i="46"/>
  <c r="F60" i="46" s="1"/>
  <c r="D61" i="46" s="1"/>
  <c r="B60" i="46"/>
  <c r="I61" i="38"/>
  <c r="H71" i="31"/>
  <c r="E70" i="29"/>
  <c r="F70" i="29" s="1"/>
  <c r="D71" i="29" s="1"/>
  <c r="B70" i="29"/>
  <c r="E72" i="31"/>
  <c r="E73" i="31" s="1"/>
  <c r="B72" i="31"/>
  <c r="B69" i="29"/>
  <c r="G69" i="29"/>
  <c r="H69" i="29"/>
  <c r="I59" i="40"/>
  <c r="G71" i="31"/>
  <c r="D72" i="23"/>
  <c r="E72" i="23" s="1"/>
  <c r="E73" i="23" s="1"/>
  <c r="H60" i="41"/>
  <c r="D61" i="41"/>
  <c r="G60" i="41"/>
  <c r="H71" i="28"/>
  <c r="D72" i="28"/>
  <c r="E72" i="28" s="1"/>
  <c r="E73" i="28" s="1"/>
  <c r="G62" i="37"/>
  <c r="D63" i="37"/>
  <c r="E63" i="37" s="1"/>
  <c r="F63" i="37" s="1"/>
  <c r="H62" i="37"/>
  <c r="E70" i="45"/>
  <c r="F70" i="45" s="1"/>
  <c r="B70" i="45"/>
  <c r="E60" i="40"/>
  <c r="F60" i="40" s="1"/>
  <c r="B60" i="40"/>
  <c r="B69" i="45"/>
  <c r="G69" i="45"/>
  <c r="H69" i="45"/>
  <c r="E60" i="43"/>
  <c r="F60" i="43" s="1"/>
  <c r="G60" i="43" s="1"/>
  <c r="B60" i="43"/>
  <c r="I61" i="42"/>
  <c r="E62" i="42"/>
  <c r="F62" i="42" s="1"/>
  <c r="B62" i="42"/>
  <c r="E62" i="38"/>
  <c r="F62" i="38" s="1"/>
  <c r="B62" i="38"/>
  <c r="B71" i="28"/>
  <c r="G71" i="28"/>
  <c r="I63" i="50" l="1"/>
  <c r="H64" i="50"/>
  <c r="D65" i="50"/>
  <c r="B64" i="50"/>
  <c r="G64" i="50"/>
  <c r="E70" i="52"/>
  <c r="F70" i="52" s="1"/>
  <c r="H70" i="52" s="1"/>
  <c r="G69" i="52"/>
  <c r="H69" i="52"/>
  <c r="D71" i="44"/>
  <c r="E71" i="44" s="1"/>
  <c r="F71" i="44" s="1"/>
  <c r="H70" i="44"/>
  <c r="G70" i="44"/>
  <c r="I64" i="30"/>
  <c r="E65" i="30"/>
  <c r="F65" i="30" s="1"/>
  <c r="D66" i="30" s="1"/>
  <c r="B65" i="30"/>
  <c r="H70" i="29"/>
  <c r="I72" i="24"/>
  <c r="I73" i="24" s="1"/>
  <c r="D63" i="39"/>
  <c r="B63" i="39" s="1"/>
  <c r="H62" i="39"/>
  <c r="I62" i="39" s="1"/>
  <c r="H60" i="46"/>
  <c r="G72" i="25"/>
  <c r="G73" i="25" s="1"/>
  <c r="G60" i="46"/>
  <c r="I68" i="45"/>
  <c r="I60" i="41"/>
  <c r="I69" i="29"/>
  <c r="G70" i="29"/>
  <c r="E61" i="46"/>
  <c r="F61" i="46" s="1"/>
  <c r="D62" i="46" s="1"/>
  <c r="B61" i="46"/>
  <c r="F72" i="31"/>
  <c r="E71" i="29"/>
  <c r="F71" i="29" s="1"/>
  <c r="H71" i="29" s="1"/>
  <c r="B71" i="29"/>
  <c r="I71" i="31"/>
  <c r="B72" i="23"/>
  <c r="F72" i="23"/>
  <c r="H72" i="23" s="1"/>
  <c r="H60" i="40"/>
  <c r="D61" i="40"/>
  <c r="G60" i="40"/>
  <c r="G62" i="38"/>
  <c r="D63" i="38"/>
  <c r="H62" i="38"/>
  <c r="H70" i="45"/>
  <c r="D71" i="45"/>
  <c r="G70" i="45"/>
  <c r="H62" i="42"/>
  <c r="D63" i="42"/>
  <c r="E63" i="42" s="1"/>
  <c r="F63" i="42" s="1"/>
  <c r="D64" i="42" s="1"/>
  <c r="G62" i="42"/>
  <c r="B63" i="37"/>
  <c r="H63" i="37"/>
  <c r="G63" i="37"/>
  <c r="B72" i="28"/>
  <c r="F72" i="28"/>
  <c r="G72" i="28" s="1"/>
  <c r="G73" i="28" s="1"/>
  <c r="I71" i="28"/>
  <c r="H60" i="43"/>
  <c r="I60" i="43" s="1"/>
  <c r="D61" i="43"/>
  <c r="I62" i="37"/>
  <c r="E61" i="41"/>
  <c r="F61" i="41" s="1"/>
  <c r="B61" i="41"/>
  <c r="I69" i="45"/>
  <c r="D64" i="37"/>
  <c r="I64" i="50" l="1"/>
  <c r="E65" i="50"/>
  <c r="F65" i="50" s="1"/>
  <c r="D66" i="50" s="1"/>
  <c r="B65" i="50"/>
  <c r="G65" i="50"/>
  <c r="G70" i="52"/>
  <c r="D71" i="52"/>
  <c r="H65" i="30"/>
  <c r="I61" i="52"/>
  <c r="D72" i="44"/>
  <c r="E72" i="44" s="1"/>
  <c r="E73" i="44" s="1"/>
  <c r="B71" i="44"/>
  <c r="H71" i="44"/>
  <c r="G71" i="44"/>
  <c r="I70" i="44"/>
  <c r="I70" i="29"/>
  <c r="B62" i="52"/>
  <c r="E63" i="39"/>
  <c r="F63" i="39" s="1"/>
  <c r="G63" i="39" s="1"/>
  <c r="I60" i="46"/>
  <c r="G65" i="30"/>
  <c r="E66" i="30"/>
  <c r="F66" i="30" s="1"/>
  <c r="D67" i="30" s="1"/>
  <c r="B66" i="30"/>
  <c r="I72" i="25"/>
  <c r="I73" i="25" s="1"/>
  <c r="G61" i="46"/>
  <c r="H61" i="46"/>
  <c r="E62" i="46"/>
  <c r="F62" i="46" s="1"/>
  <c r="H62" i="46" s="1"/>
  <c r="B62" i="46"/>
  <c r="G71" i="29"/>
  <c r="I71" i="29" s="1"/>
  <c r="I60" i="40"/>
  <c r="G72" i="23"/>
  <c r="G73" i="23" s="1"/>
  <c r="D72" i="29"/>
  <c r="E72" i="29" s="1"/>
  <c r="E73" i="29" s="1"/>
  <c r="G72" i="31"/>
  <c r="G73" i="31" s="1"/>
  <c r="H72" i="31"/>
  <c r="I63" i="37"/>
  <c r="I62" i="38"/>
  <c r="H73" i="23"/>
  <c r="I62" i="42"/>
  <c r="H61" i="41"/>
  <c r="D62" i="41"/>
  <c r="G61" i="41"/>
  <c r="B64" i="37"/>
  <c r="H72" i="28"/>
  <c r="E71" i="45"/>
  <c r="F71" i="45" s="1"/>
  <c r="B71" i="45"/>
  <c r="E64" i="42"/>
  <c r="F64" i="42" s="1"/>
  <c r="G64" i="42" s="1"/>
  <c r="B64" i="42"/>
  <c r="E63" i="38"/>
  <c r="F63" i="38" s="1"/>
  <c r="B63" i="38"/>
  <c r="B63" i="42"/>
  <c r="G63" i="42"/>
  <c r="H63" i="42"/>
  <c r="E64" i="37"/>
  <c r="F64" i="37" s="1"/>
  <c r="G64" i="37" s="1"/>
  <c r="E61" i="43"/>
  <c r="F61" i="43" s="1"/>
  <c r="B61" i="43"/>
  <c r="E61" i="40"/>
  <c r="F61" i="40" s="1"/>
  <c r="H61" i="40" s="1"/>
  <c r="B61" i="40"/>
  <c r="I70" i="45"/>
  <c r="H65" i="50" l="1"/>
  <c r="I65" i="30"/>
  <c r="I65" i="50"/>
  <c r="E66" i="50"/>
  <c r="F66" i="50" s="1"/>
  <c r="B66" i="50"/>
  <c r="E71" i="52"/>
  <c r="F71" i="52" s="1"/>
  <c r="D72" i="52" s="1"/>
  <c r="E72" i="52" s="1"/>
  <c r="F72" i="52" s="1"/>
  <c r="D64" i="39"/>
  <c r="E64" i="39" s="1"/>
  <c r="F64" i="39" s="1"/>
  <c r="D65" i="39" s="1"/>
  <c r="B65" i="39" s="1"/>
  <c r="I71" i="44"/>
  <c r="H63" i="39"/>
  <c r="I63" i="39" s="1"/>
  <c r="B72" i="44"/>
  <c r="F72" i="44"/>
  <c r="G72" i="44" s="1"/>
  <c r="G73" i="44" s="1"/>
  <c r="H66" i="30"/>
  <c r="G62" i="46"/>
  <c r="I62" i="46" s="1"/>
  <c r="I61" i="41"/>
  <c r="G66" i="30"/>
  <c r="E67" i="30"/>
  <c r="F67" i="30" s="1"/>
  <c r="D68" i="30" s="1"/>
  <c r="B67" i="30"/>
  <c r="D72" i="45"/>
  <c r="E72" i="45" s="1"/>
  <c r="E73" i="45" s="1"/>
  <c r="G71" i="45"/>
  <c r="I61" i="46"/>
  <c r="I72" i="23"/>
  <c r="I73" i="23" s="1"/>
  <c r="D63" i="46"/>
  <c r="E63" i="46" s="1"/>
  <c r="F63" i="46" s="1"/>
  <c r="I72" i="31"/>
  <c r="I73" i="31" s="1"/>
  <c r="H73" i="31"/>
  <c r="B72" i="29"/>
  <c r="F72" i="29"/>
  <c r="H72" i="29" s="1"/>
  <c r="H64" i="37"/>
  <c r="I64" i="37" s="1"/>
  <c r="D65" i="37"/>
  <c r="G61" i="43"/>
  <c r="D62" i="43"/>
  <c r="G63" i="38"/>
  <c r="D64" i="38"/>
  <c r="I63" i="42"/>
  <c r="H64" i="42"/>
  <c r="I64" i="42" s="1"/>
  <c r="D65" i="42"/>
  <c r="I72" i="28"/>
  <c r="I73" i="28" s="1"/>
  <c r="H73" i="28"/>
  <c r="G61" i="40"/>
  <c r="I61" i="40" s="1"/>
  <c r="D62" i="40"/>
  <c r="E62" i="41"/>
  <c r="F62" i="41" s="1"/>
  <c r="B62" i="41"/>
  <c r="H61" i="43"/>
  <c r="H63" i="38"/>
  <c r="H71" i="45"/>
  <c r="G66" i="50" l="1"/>
  <c r="H66" i="50"/>
  <c r="I66" i="50" s="1"/>
  <c r="D67" i="50"/>
  <c r="B67" i="50" s="1"/>
  <c r="H72" i="52"/>
  <c r="G72" i="52"/>
  <c r="H71" i="52"/>
  <c r="G71" i="52"/>
  <c r="H64" i="39"/>
  <c r="E65" i="39"/>
  <c r="F65" i="39" s="1"/>
  <c r="G65" i="39" s="1"/>
  <c r="B63" i="52"/>
  <c r="H67" i="30"/>
  <c r="H72" i="44"/>
  <c r="H73" i="44" s="1"/>
  <c r="G64" i="39"/>
  <c r="B64" i="39"/>
  <c r="I62" i="52"/>
  <c r="I66" i="30"/>
  <c r="B72" i="45"/>
  <c r="I71" i="45"/>
  <c r="G67" i="30"/>
  <c r="E68" i="30"/>
  <c r="F68" i="30" s="1"/>
  <c r="D69" i="30" s="1"/>
  <c r="B68" i="30"/>
  <c r="G72" i="29"/>
  <c r="G73" i="29" s="1"/>
  <c r="G63" i="46"/>
  <c r="D64" i="46"/>
  <c r="B63" i="46"/>
  <c r="H63" i="46"/>
  <c r="H73" i="29"/>
  <c r="E62" i="43"/>
  <c r="F62" i="43" s="1"/>
  <c r="H62" i="43" s="1"/>
  <c r="B62" i="43"/>
  <c r="E65" i="37"/>
  <c r="F65" i="37" s="1"/>
  <c r="H65" i="37" s="1"/>
  <c r="B65" i="37"/>
  <c r="F72" i="45"/>
  <c r="I63" i="38"/>
  <c r="H62" i="41"/>
  <c r="D63" i="41"/>
  <c r="E65" i="42"/>
  <c r="F65" i="42" s="1"/>
  <c r="B65" i="42"/>
  <c r="I61" i="43"/>
  <c r="E64" i="38"/>
  <c r="F64" i="38" s="1"/>
  <c r="B64" i="38"/>
  <c r="G62" i="41"/>
  <c r="E62" i="40"/>
  <c r="F62" i="40" s="1"/>
  <c r="G62" i="40" s="1"/>
  <c r="B62" i="40"/>
  <c r="E67" i="50" l="1"/>
  <c r="F67" i="50" s="1"/>
  <c r="D68" i="50" s="1"/>
  <c r="B68" i="50" s="1"/>
  <c r="H65" i="39"/>
  <c r="I65" i="39" s="1"/>
  <c r="D66" i="39"/>
  <c r="E66" i="39" s="1"/>
  <c r="F66" i="39" s="1"/>
  <c r="H66" i="39" s="1"/>
  <c r="I64" i="39"/>
  <c r="I67" i="30"/>
  <c r="I72" i="44"/>
  <c r="I73" i="44" s="1"/>
  <c r="I63" i="52"/>
  <c r="H68" i="30"/>
  <c r="G68" i="30"/>
  <c r="B64" i="52"/>
  <c r="I72" i="29"/>
  <c r="I73" i="29" s="1"/>
  <c r="E69" i="30"/>
  <c r="F69" i="30" s="1"/>
  <c r="D70" i="30" s="1"/>
  <c r="B69" i="30"/>
  <c r="I63" i="46"/>
  <c r="E64" i="46"/>
  <c r="F64" i="46" s="1"/>
  <c r="D65" i="46" s="1"/>
  <c r="B64" i="46"/>
  <c r="I62" i="41"/>
  <c r="H65" i="42"/>
  <c r="D66" i="42"/>
  <c r="G65" i="42"/>
  <c r="H64" i="38"/>
  <c r="D65" i="38"/>
  <c r="G64" i="38"/>
  <c r="E63" i="41"/>
  <c r="F63" i="41" s="1"/>
  <c r="G63" i="41" s="1"/>
  <c r="B63" i="41"/>
  <c r="H72" i="45"/>
  <c r="G72" i="45"/>
  <c r="G73" i="45" s="1"/>
  <c r="G62" i="43"/>
  <c r="I62" i="43" s="1"/>
  <c r="D63" i="43"/>
  <c r="G65" i="37"/>
  <c r="I65" i="37" s="1"/>
  <c r="D66" i="37"/>
  <c r="H62" i="40"/>
  <c r="I62" i="40" s="1"/>
  <c r="D63" i="40"/>
  <c r="B66" i="39" l="1"/>
  <c r="E68" i="50"/>
  <c r="F68" i="50" s="1"/>
  <c r="G68" i="50" s="1"/>
  <c r="G67" i="50"/>
  <c r="H67" i="50"/>
  <c r="I67" i="50" s="1"/>
  <c r="I68" i="30"/>
  <c r="H68" i="50"/>
  <c r="I68" i="50" s="1"/>
  <c r="D69" i="50"/>
  <c r="E69" i="50" s="1"/>
  <c r="F69" i="50" s="1"/>
  <c r="D70" i="50" s="1"/>
  <c r="I64" i="52"/>
  <c r="H69" i="30"/>
  <c r="G69" i="30"/>
  <c r="E70" i="30"/>
  <c r="F70" i="30" s="1"/>
  <c r="D71" i="30" s="1"/>
  <c r="B70" i="30"/>
  <c r="I64" i="38"/>
  <c r="G64" i="46"/>
  <c r="H64" i="46"/>
  <c r="E65" i="46"/>
  <c r="F65" i="46" s="1"/>
  <c r="H65" i="46" s="1"/>
  <c r="B65" i="46"/>
  <c r="E63" i="43"/>
  <c r="F63" i="43" s="1"/>
  <c r="B63" i="43"/>
  <c r="E66" i="42"/>
  <c r="F66" i="42" s="1"/>
  <c r="G66" i="42" s="1"/>
  <c r="B66" i="42"/>
  <c r="H63" i="41"/>
  <c r="I63" i="41" s="1"/>
  <c r="D64" i="41"/>
  <c r="G66" i="39"/>
  <c r="I66" i="39" s="1"/>
  <c r="D67" i="39"/>
  <c r="E65" i="38"/>
  <c r="F65" i="38" s="1"/>
  <c r="H65" i="38" s="1"/>
  <c r="B65" i="38"/>
  <c r="I72" i="45"/>
  <c r="I73" i="45" s="1"/>
  <c r="H73" i="45"/>
  <c r="E63" i="40"/>
  <c r="F63" i="40" s="1"/>
  <c r="B63" i="40"/>
  <c r="E66" i="37"/>
  <c r="F66" i="37" s="1"/>
  <c r="B66" i="37"/>
  <c r="I65" i="42"/>
  <c r="G70" i="30" l="1"/>
  <c r="B65" i="52"/>
  <c r="E70" i="50"/>
  <c r="F70" i="50" s="1"/>
  <c r="B70" i="50"/>
  <c r="B69" i="50"/>
  <c r="G69" i="50"/>
  <c r="H69" i="50"/>
  <c r="H70" i="30"/>
  <c r="I64" i="46"/>
  <c r="I69" i="30"/>
  <c r="E71" i="30"/>
  <c r="F71" i="30" s="1"/>
  <c r="D72" i="30" s="1"/>
  <c r="B71" i="30"/>
  <c r="G65" i="46"/>
  <c r="I65" i="46" s="1"/>
  <c r="D66" i="46"/>
  <c r="E66" i="46" s="1"/>
  <c r="F66" i="46" s="1"/>
  <c r="H63" i="43"/>
  <c r="D64" i="43"/>
  <c r="G63" i="43"/>
  <c r="H66" i="37"/>
  <c r="D67" i="37"/>
  <c r="E67" i="37" s="1"/>
  <c r="F67" i="37" s="1"/>
  <c r="D68" i="37" s="1"/>
  <c r="G66" i="37"/>
  <c r="H63" i="40"/>
  <c r="D64" i="40"/>
  <c r="G63" i="40"/>
  <c r="G65" i="38"/>
  <c r="I65" i="38" s="1"/>
  <c r="D66" i="38"/>
  <c r="H66" i="42"/>
  <c r="I66" i="42" s="1"/>
  <c r="D67" i="42"/>
  <c r="E67" i="39"/>
  <c r="F67" i="39" s="1"/>
  <c r="B67" i="39"/>
  <c r="E64" i="41"/>
  <c r="F64" i="41" s="1"/>
  <c r="H64" i="41" s="1"/>
  <c r="B64" i="41"/>
  <c r="I70" i="30" l="1"/>
  <c r="I69" i="50"/>
  <c r="G70" i="50"/>
  <c r="D71" i="50"/>
  <c r="B66" i="52"/>
  <c r="H70" i="50"/>
  <c r="H71" i="30"/>
  <c r="G71" i="30"/>
  <c r="E72" i="30"/>
  <c r="E73" i="30" s="1"/>
  <c r="B72" i="30"/>
  <c r="G66" i="46"/>
  <c r="D67" i="46"/>
  <c r="B66" i="46"/>
  <c r="H66" i="46"/>
  <c r="I66" i="37"/>
  <c r="G67" i="39"/>
  <c r="D68" i="39"/>
  <c r="H67" i="39"/>
  <c r="E64" i="40"/>
  <c r="F64" i="40" s="1"/>
  <c r="B64" i="40"/>
  <c r="E67" i="42"/>
  <c r="F67" i="42" s="1"/>
  <c r="G67" i="42" s="1"/>
  <c r="B67" i="42"/>
  <c r="E68" i="37"/>
  <c r="F68" i="37" s="1"/>
  <c r="G68" i="37" s="1"/>
  <c r="B68" i="37"/>
  <c r="G64" i="41"/>
  <c r="I64" i="41" s="1"/>
  <c r="D65" i="41"/>
  <c r="B67" i="37"/>
  <c r="H67" i="37"/>
  <c r="G67" i="37"/>
  <c r="E66" i="38"/>
  <c r="F66" i="38" s="1"/>
  <c r="B66" i="38"/>
  <c r="I63" i="43"/>
  <c r="I63" i="40"/>
  <c r="E64" i="43"/>
  <c r="F64" i="43" s="1"/>
  <c r="B64" i="43"/>
  <c r="I65" i="52" l="1"/>
  <c r="I71" i="30"/>
  <c r="I70" i="50"/>
  <c r="B67" i="52"/>
  <c r="E71" i="50"/>
  <c r="F71" i="50" s="1"/>
  <c r="H71" i="50" s="1"/>
  <c r="B71" i="50"/>
  <c r="F72" i="30"/>
  <c r="I66" i="46"/>
  <c r="E67" i="46"/>
  <c r="F67" i="46" s="1"/>
  <c r="D68" i="46" s="1"/>
  <c r="B67" i="46"/>
  <c r="I67" i="39"/>
  <c r="I67" i="37"/>
  <c r="H66" i="38"/>
  <c r="D67" i="38"/>
  <c r="E67" i="38" s="1"/>
  <c r="F67" i="38" s="1"/>
  <c r="G66" i="38"/>
  <c r="G64" i="40"/>
  <c r="D65" i="40"/>
  <c r="H64" i="40"/>
  <c r="G64" i="43"/>
  <c r="D65" i="43"/>
  <c r="H64" i="43"/>
  <c r="H68" i="37"/>
  <c r="I68" i="37" s="1"/>
  <c r="D69" i="37"/>
  <c r="E69" i="37" s="1"/>
  <c r="F69" i="37" s="1"/>
  <c r="D70" i="37" s="1"/>
  <c r="E65" i="41"/>
  <c r="F65" i="41" s="1"/>
  <c r="B65" i="41"/>
  <c r="H67" i="42"/>
  <c r="I67" i="42" s="1"/>
  <c r="D68" i="42"/>
  <c r="E68" i="39"/>
  <c r="F68" i="39" s="1"/>
  <c r="G68" i="39" s="1"/>
  <c r="B68" i="39"/>
  <c r="I66" i="52" l="1"/>
  <c r="G71" i="50"/>
  <c r="D72" i="50"/>
  <c r="I67" i="52"/>
  <c r="I71" i="50"/>
  <c r="I64" i="43"/>
  <c r="H72" i="30"/>
  <c r="G72" i="30"/>
  <c r="G73" i="30" s="1"/>
  <c r="H67" i="46"/>
  <c r="G67" i="46"/>
  <c r="E68" i="46"/>
  <c r="F68" i="46" s="1"/>
  <c r="G68" i="46" s="1"/>
  <c r="B68" i="46"/>
  <c r="G65" i="41"/>
  <c r="D66" i="41"/>
  <c r="H65" i="41"/>
  <c r="D68" i="38"/>
  <c r="E68" i="38" s="1"/>
  <c r="F68" i="38" s="1"/>
  <c r="D69" i="38" s="1"/>
  <c r="I64" i="40"/>
  <c r="E65" i="43"/>
  <c r="F65" i="43" s="1"/>
  <c r="B65" i="43"/>
  <c r="H68" i="39"/>
  <c r="I68" i="39" s="1"/>
  <c r="E70" i="37"/>
  <c r="F70" i="37" s="1"/>
  <c r="H70" i="37" s="1"/>
  <c r="B70" i="37"/>
  <c r="E65" i="40"/>
  <c r="F65" i="40" s="1"/>
  <c r="B65" i="40"/>
  <c r="E68" i="42"/>
  <c r="F68" i="42" s="1"/>
  <c r="G68" i="42" s="1"/>
  <c r="B68" i="42"/>
  <c r="B69" i="37"/>
  <c r="H69" i="37"/>
  <c r="G69" i="37"/>
  <c r="D69" i="39"/>
  <c r="E69" i="39" s="1"/>
  <c r="F69" i="39" s="1"/>
  <c r="D70" i="39" s="1"/>
  <c r="I66" i="38"/>
  <c r="B67" i="38"/>
  <c r="G67" i="38"/>
  <c r="H67" i="38"/>
  <c r="B69" i="52" l="1"/>
  <c r="B68" i="52"/>
  <c r="E72" i="50"/>
  <c r="E73" i="50" s="1"/>
  <c r="B72" i="50"/>
  <c r="I72" i="30"/>
  <c r="I73" i="30" s="1"/>
  <c r="H73" i="30"/>
  <c r="I67" i="46"/>
  <c r="H68" i="46"/>
  <c r="I68" i="46" s="1"/>
  <c r="D69" i="46"/>
  <c r="E69" i="46" s="1"/>
  <c r="F69" i="46" s="1"/>
  <c r="I69" i="37"/>
  <c r="E70" i="39"/>
  <c r="F70" i="39" s="1"/>
  <c r="B70" i="39"/>
  <c r="H65" i="43"/>
  <c r="D66" i="43"/>
  <c r="E66" i="43" s="1"/>
  <c r="F66" i="43" s="1"/>
  <c r="D67" i="43" s="1"/>
  <c r="G65" i="43"/>
  <c r="E69" i="38"/>
  <c r="F69" i="38" s="1"/>
  <c r="D70" i="38" s="1"/>
  <c r="B69" i="38"/>
  <c r="H65" i="40"/>
  <c r="D66" i="40"/>
  <c r="I67" i="38"/>
  <c r="H68" i="42"/>
  <c r="I68" i="42" s="1"/>
  <c r="D69" i="42"/>
  <c r="G70" i="37"/>
  <c r="I70" i="37" s="1"/>
  <c r="D71" i="37"/>
  <c r="B68" i="38"/>
  <c r="H68" i="38"/>
  <c r="G68" i="38"/>
  <c r="B69" i="39"/>
  <c r="G69" i="39"/>
  <c r="H69" i="39"/>
  <c r="G65" i="40"/>
  <c r="I65" i="41"/>
  <c r="E66" i="41"/>
  <c r="F66" i="41" s="1"/>
  <c r="B66" i="41"/>
  <c r="F72" i="50" l="1"/>
  <c r="I68" i="52"/>
  <c r="G69" i="46"/>
  <c r="D70" i="46"/>
  <c r="E70" i="46" s="1"/>
  <c r="F70" i="46" s="1"/>
  <c r="B69" i="46"/>
  <c r="H69" i="46"/>
  <c r="I68" i="38"/>
  <c r="I65" i="43"/>
  <c r="D67" i="41"/>
  <c r="G66" i="41"/>
  <c r="H66" i="41"/>
  <c r="E69" i="42"/>
  <c r="F69" i="42" s="1"/>
  <c r="H69" i="42" s="1"/>
  <c r="B69" i="42"/>
  <c r="E70" i="38"/>
  <c r="F70" i="38" s="1"/>
  <c r="B70" i="38"/>
  <c r="G70" i="39"/>
  <c r="D71" i="39"/>
  <c r="B66" i="43"/>
  <c r="G66" i="43"/>
  <c r="H66" i="43"/>
  <c r="E67" i="43"/>
  <c r="F67" i="43" s="1"/>
  <c r="G67" i="43" s="1"/>
  <c r="B67" i="43"/>
  <c r="I65" i="40"/>
  <c r="E71" i="37"/>
  <c r="F71" i="37" s="1"/>
  <c r="B71" i="37"/>
  <c r="H69" i="38"/>
  <c r="E66" i="40"/>
  <c r="F66" i="40" s="1"/>
  <c r="B66" i="40"/>
  <c r="I69" i="39"/>
  <c r="G69" i="38"/>
  <c r="H70" i="39"/>
  <c r="I69" i="52" l="1"/>
  <c r="G72" i="50"/>
  <c r="G73" i="50" s="1"/>
  <c r="H72" i="50"/>
  <c r="B70" i="52"/>
  <c r="I69" i="46"/>
  <c r="D71" i="46"/>
  <c r="E71" i="46" s="1"/>
  <c r="F71" i="46" s="1"/>
  <c r="G70" i="46"/>
  <c r="B70" i="46"/>
  <c r="H70" i="46"/>
  <c r="I69" i="38"/>
  <c r="I70" i="39"/>
  <c r="I66" i="43"/>
  <c r="H70" i="38"/>
  <c r="D71" i="38"/>
  <c r="G70" i="38"/>
  <c r="D67" i="40"/>
  <c r="G66" i="40"/>
  <c r="H66" i="40"/>
  <c r="G71" i="37"/>
  <c r="D72" i="37"/>
  <c r="E72" i="37" s="1"/>
  <c r="E73" i="37" s="1"/>
  <c r="H71" i="37"/>
  <c r="B67" i="41"/>
  <c r="G69" i="42"/>
  <c r="I69" i="42" s="1"/>
  <c r="D70" i="42"/>
  <c r="E71" i="39"/>
  <c r="F71" i="39" s="1"/>
  <c r="B71" i="39"/>
  <c r="I66" i="41"/>
  <c r="H67" i="43"/>
  <c r="I67" i="43" s="1"/>
  <c r="D68" i="43"/>
  <c r="E67" i="41"/>
  <c r="F67" i="41" s="1"/>
  <c r="D68" i="41" s="1"/>
  <c r="I72" i="50" l="1"/>
  <c r="I73" i="50" s="1"/>
  <c r="H73" i="50"/>
  <c r="I70" i="46"/>
  <c r="D72" i="46"/>
  <c r="E72" i="46" s="1"/>
  <c r="E73" i="46" s="1"/>
  <c r="B71" i="46"/>
  <c r="H71" i="46"/>
  <c r="G71" i="46"/>
  <c r="G67" i="41"/>
  <c r="H67" i="41"/>
  <c r="G71" i="39"/>
  <c r="D72" i="39"/>
  <c r="H71" i="39"/>
  <c r="I66" i="40"/>
  <c r="E68" i="43"/>
  <c r="F68" i="43" s="1"/>
  <c r="H68" i="43" s="1"/>
  <c r="B68" i="43"/>
  <c r="E67" i="40"/>
  <c r="F67" i="40" s="1"/>
  <c r="B67" i="40"/>
  <c r="B70" i="42"/>
  <c r="I71" i="37"/>
  <c r="I70" i="38"/>
  <c r="E68" i="41"/>
  <c r="F68" i="41" s="1"/>
  <c r="B68" i="41"/>
  <c r="E70" i="42"/>
  <c r="F70" i="42" s="1"/>
  <c r="H70" i="42" s="1"/>
  <c r="B72" i="37"/>
  <c r="F72" i="37"/>
  <c r="H72" i="37" s="1"/>
  <c r="E71" i="38"/>
  <c r="F71" i="38" s="1"/>
  <c r="G71" i="38" s="1"/>
  <c r="B71" i="38"/>
  <c r="I70" i="52" l="1"/>
  <c r="B71" i="52"/>
  <c r="I71" i="46"/>
  <c r="G72" i="37"/>
  <c r="G73" i="37" s="1"/>
  <c r="B72" i="46"/>
  <c r="F72" i="46"/>
  <c r="G72" i="46" s="1"/>
  <c r="G73" i="46" s="1"/>
  <c r="I67" i="41"/>
  <c r="H67" i="40"/>
  <c r="D68" i="40"/>
  <c r="G67" i="40"/>
  <c r="H68" i="41"/>
  <c r="D69" i="41"/>
  <c r="E69" i="41" s="1"/>
  <c r="F69" i="41" s="1"/>
  <c r="D70" i="41" s="1"/>
  <c r="G68" i="41"/>
  <c r="H73" i="37"/>
  <c r="G68" i="43"/>
  <c r="I68" i="43" s="1"/>
  <c r="D69" i="43"/>
  <c r="G70" i="42"/>
  <c r="I70" i="42" s="1"/>
  <c r="D71" i="42"/>
  <c r="H71" i="38"/>
  <c r="I71" i="38" s="1"/>
  <c r="D72" i="38"/>
  <c r="I71" i="39"/>
  <c r="E72" i="39"/>
  <c r="E73" i="39" s="1"/>
  <c r="B72" i="39"/>
  <c r="I71" i="52" l="1"/>
  <c r="E73" i="52"/>
  <c r="I72" i="37"/>
  <c r="I73" i="37" s="1"/>
  <c r="H72" i="46"/>
  <c r="I72" i="46" s="1"/>
  <c r="I73" i="46" s="1"/>
  <c r="I68" i="41"/>
  <c r="F72" i="39"/>
  <c r="G72" i="39" s="1"/>
  <c r="G73" i="39" s="1"/>
  <c r="E71" i="42"/>
  <c r="F71" i="42" s="1"/>
  <c r="B71" i="42"/>
  <c r="B69" i="41"/>
  <c r="G69" i="41"/>
  <c r="H69" i="41"/>
  <c r="E70" i="41"/>
  <c r="F70" i="41" s="1"/>
  <c r="B70" i="41"/>
  <c r="E69" i="43"/>
  <c r="F69" i="43" s="1"/>
  <c r="G69" i="43" s="1"/>
  <c r="B69" i="43"/>
  <c r="I67" i="40"/>
  <c r="E72" i="38"/>
  <c r="E73" i="38" s="1"/>
  <c r="B72" i="38"/>
  <c r="E68" i="40"/>
  <c r="F68" i="40" s="1"/>
  <c r="B68" i="40"/>
  <c r="H72" i="39" l="1"/>
  <c r="I72" i="39" s="1"/>
  <c r="I73" i="39" s="1"/>
  <c r="B72" i="52"/>
  <c r="H73" i="46"/>
  <c r="I69" i="41"/>
  <c r="H68" i="40"/>
  <c r="D69" i="40"/>
  <c r="G68" i="40"/>
  <c r="G71" i="42"/>
  <c r="D72" i="42"/>
  <c r="H69" i="43"/>
  <c r="I69" i="43" s="1"/>
  <c r="D70" i="43"/>
  <c r="H70" i="41"/>
  <c r="D71" i="41"/>
  <c r="E71" i="41" s="1"/>
  <c r="F71" i="41" s="1"/>
  <c r="D72" i="41" s="1"/>
  <c r="F72" i="38"/>
  <c r="G70" i="41"/>
  <c r="H71" i="42"/>
  <c r="H73" i="39" l="1"/>
  <c r="G73" i="52"/>
  <c r="H73" i="52"/>
  <c r="I71" i="42"/>
  <c r="I70" i="41"/>
  <c r="E72" i="41"/>
  <c r="E73" i="41" s="1"/>
  <c r="B72" i="41"/>
  <c r="E70" i="43"/>
  <c r="F70" i="43" s="1"/>
  <c r="G70" i="43" s="1"/>
  <c r="B70" i="43"/>
  <c r="E72" i="42"/>
  <c r="E73" i="42" s="1"/>
  <c r="B72" i="42"/>
  <c r="H72" i="38"/>
  <c r="G72" i="38"/>
  <c r="G73" i="38" s="1"/>
  <c r="B71" i="41"/>
  <c r="H71" i="41"/>
  <c r="G71" i="41"/>
  <c r="I68" i="40"/>
  <c r="E69" i="40"/>
  <c r="F69" i="40" s="1"/>
  <c r="B69" i="40"/>
  <c r="I72" i="52" l="1"/>
  <c r="I73" i="52" s="1"/>
  <c r="F72" i="41"/>
  <c r="H72" i="41" s="1"/>
  <c r="H73" i="41" s="1"/>
  <c r="F72" i="42"/>
  <c r="H72" i="42" s="1"/>
  <c r="H73" i="42" s="1"/>
  <c r="D70" i="40"/>
  <c r="H69" i="40"/>
  <c r="G69" i="40"/>
  <c r="I71" i="41"/>
  <c r="I72" i="38"/>
  <c r="I73" i="38" s="1"/>
  <c r="H73" i="38"/>
  <c r="H70" i="43"/>
  <c r="I70" i="43" s="1"/>
  <c r="D71" i="43"/>
  <c r="G72" i="42" l="1"/>
  <c r="G73" i="42" s="1"/>
  <c r="G72" i="41"/>
  <c r="G73" i="41" s="1"/>
  <c r="E70" i="40"/>
  <c r="F70" i="40" s="1"/>
  <c r="B70" i="40"/>
  <c r="E71" i="43"/>
  <c r="F71" i="43" s="1"/>
  <c r="G71" i="43" s="1"/>
  <c r="B71" i="43"/>
  <c r="I69" i="40"/>
  <c r="I72" i="42" l="1"/>
  <c r="I73" i="42" s="1"/>
  <c r="I72" i="41"/>
  <c r="I73" i="41" s="1"/>
  <c r="G70" i="40"/>
  <c r="D71" i="40"/>
  <c r="H70" i="40"/>
  <c r="H71" i="43"/>
  <c r="I71" i="43" s="1"/>
  <c r="D72" i="43"/>
  <c r="B71" i="40" l="1"/>
  <c r="E72" i="43"/>
  <c r="E73" i="43" s="1"/>
  <c r="B72" i="43"/>
  <c r="E71" i="40"/>
  <c r="F71" i="40" s="1"/>
  <c r="D72" i="40" s="1"/>
  <c r="I70" i="40"/>
  <c r="F72" i="43" l="1"/>
  <c r="H71" i="40"/>
  <c r="G71" i="40"/>
  <c r="E72" i="40"/>
  <c r="E73" i="40" s="1"/>
  <c r="B72" i="40"/>
  <c r="G72" i="43" l="1"/>
  <c r="G73" i="43" s="1"/>
  <c r="H72" i="43"/>
  <c r="I71" i="40"/>
  <c r="F72" i="40"/>
  <c r="H73" i="43" l="1"/>
  <c r="I72" i="43"/>
  <c r="I73" i="43" s="1"/>
  <c r="H72" i="40"/>
  <c r="G72" i="40"/>
  <c r="G73" i="40" s="1"/>
  <c r="I72" i="40" l="1"/>
  <c r="I73" i="40" s="1"/>
  <c r="H73" i="40"/>
  <c r="F87" i="2" l="1"/>
  <c r="F86" i="2" l="1"/>
  <c r="F88" i="2" s="1"/>
  <c r="F89" i="2" s="1"/>
  <c r="F91" i="2" s="1"/>
  <c r="F92" i="2" s="1"/>
  <c r="F93" i="2" s="1"/>
  <c r="D95" i="57" s="1"/>
  <c r="J96" i="57" s="1"/>
  <c r="E100" i="57" l="1"/>
  <c r="F100" i="57" s="1"/>
  <c r="E101" i="57" s="1"/>
  <c r="D95" i="56"/>
  <c r="D95" i="51"/>
  <c r="J96" i="51" s="1"/>
  <c r="D95" i="52"/>
  <c r="J96" i="52" s="1"/>
  <c r="D95" i="50"/>
  <c r="J96" i="50" s="1"/>
  <c r="D95" i="10"/>
  <c r="J96" i="10" s="1"/>
  <c r="D95" i="38"/>
  <c r="J96" i="38" s="1"/>
  <c r="D95" i="31"/>
  <c r="J96" i="31" s="1"/>
  <c r="D95" i="30"/>
  <c r="J96" i="30" s="1"/>
  <c r="D95" i="41"/>
  <c r="J96" i="41" s="1"/>
  <c r="D95" i="25"/>
  <c r="J96" i="25" s="1"/>
  <c r="D95" i="39"/>
  <c r="J96" i="39" s="1"/>
  <c r="D95" i="42"/>
  <c r="J96" i="42" s="1"/>
  <c r="D95" i="29"/>
  <c r="J96" i="29" s="1"/>
  <c r="D95" i="22"/>
  <c r="J96" i="22" s="1"/>
  <c r="D95" i="8"/>
  <c r="J96" i="8" s="1"/>
  <c r="D95" i="13"/>
  <c r="D95" i="28"/>
  <c r="J96" i="28" s="1"/>
  <c r="D95" i="27"/>
  <c r="J96" i="27" s="1"/>
  <c r="D95" i="3"/>
  <c r="J96" i="3" s="1"/>
  <c r="D95" i="46"/>
  <c r="J96" i="46" s="1"/>
  <c r="D95" i="7"/>
  <c r="J96" i="7" s="1"/>
  <c r="D95" i="37"/>
  <c r="J96" i="37" s="1"/>
  <c r="D95" i="43"/>
  <c r="J96" i="43" s="1"/>
  <c r="D95" i="40"/>
  <c r="J96" i="40" s="1"/>
  <c r="D95" i="4"/>
  <c r="J96" i="4" s="1"/>
  <c r="D95" i="44"/>
  <c r="J96" i="44" s="1"/>
  <c r="D95" i="11"/>
  <c r="J96" i="11" s="1"/>
  <c r="D95" i="24"/>
  <c r="J96" i="24" s="1"/>
  <c r="D95" i="23"/>
  <c r="J96" i="23" s="1"/>
  <c r="D95" i="45"/>
  <c r="J96" i="45" s="1"/>
  <c r="D95" i="6"/>
  <c r="J96" i="6" s="1"/>
  <c r="D95" i="9"/>
  <c r="J96" i="9" s="1"/>
  <c r="E117" i="9" s="1"/>
  <c r="F117" i="9" s="1"/>
  <c r="D95" i="5"/>
  <c r="J96" i="5" s="1"/>
  <c r="E100" i="52" l="1"/>
  <c r="F100" i="52" s="1"/>
  <c r="E101" i="52" s="1"/>
  <c r="E99" i="51"/>
  <c r="F99" i="51" s="1"/>
  <c r="E100" i="51" s="1"/>
  <c r="G100" i="57"/>
  <c r="D101" i="57"/>
  <c r="G117" i="9"/>
  <c r="H117" i="9"/>
  <c r="E100" i="50"/>
  <c r="F100" i="50" s="1"/>
  <c r="J103" i="42"/>
  <c r="D100" i="51" l="1"/>
  <c r="B100" i="51" s="1"/>
  <c r="G99" i="51"/>
  <c r="H100" i="57"/>
  <c r="I100" i="57"/>
  <c r="B101" i="57"/>
  <c r="F101" i="57"/>
  <c r="D101" i="52"/>
  <c r="B101" i="52" s="1"/>
  <c r="G100" i="52"/>
  <c r="D101" i="50"/>
  <c r="G100" i="50"/>
  <c r="J103" i="43"/>
  <c r="B109" i="28"/>
  <c r="B115" i="8"/>
  <c r="J116" i="7"/>
  <c r="J114" i="8"/>
  <c r="J104" i="41"/>
  <c r="B104" i="43"/>
  <c r="B106" i="39"/>
  <c r="J105" i="39"/>
  <c r="J115" i="9"/>
  <c r="B109" i="31"/>
  <c r="B113" i="25"/>
  <c r="B114" i="3"/>
  <c r="B106" i="37"/>
  <c r="B104" i="44"/>
  <c r="J108" i="29"/>
  <c r="J113" i="5"/>
  <c r="B105" i="40"/>
  <c r="B116" i="11"/>
  <c r="J107" i="30"/>
  <c r="B105" i="41"/>
  <c r="J105" i="37"/>
  <c r="J108" i="28"/>
  <c r="J113" i="3"/>
  <c r="B116" i="9"/>
  <c r="J109" i="27"/>
  <c r="B108" i="30"/>
  <c r="B111" i="24"/>
  <c r="B117" i="7"/>
  <c r="B114" i="4"/>
  <c r="J103" i="44"/>
  <c r="J108" i="31"/>
  <c r="J103" i="45"/>
  <c r="J112" i="25"/>
  <c r="B114" i="5"/>
  <c r="B105" i="38"/>
  <c r="B110" i="27"/>
  <c r="J104" i="40"/>
  <c r="J115" i="11"/>
  <c r="B115" i="6"/>
  <c r="B104" i="42"/>
  <c r="J110" i="24"/>
  <c r="B112" i="23"/>
  <c r="J102" i="46"/>
  <c r="B113" i="22"/>
  <c r="B104" i="45"/>
  <c r="J112" i="22"/>
  <c r="J111" i="23"/>
  <c r="J104" i="38"/>
  <c r="J113" i="4"/>
  <c r="B103" i="46"/>
  <c r="J114" i="6"/>
  <c r="B109" i="29"/>
  <c r="J100" i="57" l="1"/>
  <c r="F101" i="52"/>
  <c r="G101" i="57"/>
  <c r="D102" i="57"/>
  <c r="E102" i="57"/>
  <c r="D102" i="52"/>
  <c r="B102" i="52" s="1"/>
  <c r="G101" i="52"/>
  <c r="E102" i="52"/>
  <c r="H99" i="51"/>
  <c r="I99" i="51"/>
  <c r="N99" i="51" s="1"/>
  <c r="O99" i="51" s="1"/>
  <c r="H100" i="52"/>
  <c r="I100" i="52"/>
  <c r="F100" i="51"/>
  <c r="H100" i="50"/>
  <c r="M88" i="50" s="1"/>
  <c r="M89" i="50" s="1"/>
  <c r="I100" i="50"/>
  <c r="N88" i="50" s="1"/>
  <c r="E101" i="50"/>
  <c r="F101" i="50" s="1"/>
  <c r="B101" i="50"/>
  <c r="D106" i="41"/>
  <c r="E106" i="41"/>
  <c r="D105" i="45"/>
  <c r="E105" i="45"/>
  <c r="D116" i="6"/>
  <c r="E116" i="6"/>
  <c r="D111" i="27"/>
  <c r="E111" i="27"/>
  <c r="D112" i="24"/>
  <c r="E112" i="24"/>
  <c r="D113" i="23"/>
  <c r="E113" i="23"/>
  <c r="D115" i="4"/>
  <c r="E115" i="4"/>
  <c r="D106" i="40"/>
  <c r="E106" i="40"/>
  <c r="D105" i="44"/>
  <c r="E105" i="44"/>
  <c r="D115" i="3"/>
  <c r="E115" i="3"/>
  <c r="D106" i="38"/>
  <c r="E106" i="38"/>
  <c r="D109" i="30"/>
  <c r="E109" i="30"/>
  <c r="D114" i="25"/>
  <c r="E114" i="25"/>
  <c r="D116" i="8"/>
  <c r="E116" i="8"/>
  <c r="J116" i="10"/>
  <c r="D107" i="37"/>
  <c r="E107" i="37"/>
  <c r="D115" i="5"/>
  <c r="E115" i="5"/>
  <c r="D114" i="22"/>
  <c r="E114" i="22"/>
  <c r="B117" i="10"/>
  <c r="D110" i="31"/>
  <c r="E110" i="31"/>
  <c r="D107" i="39"/>
  <c r="E107" i="39"/>
  <c r="D104" i="46"/>
  <c r="E104" i="46"/>
  <c r="D110" i="29"/>
  <c r="E110" i="29"/>
  <c r="D118" i="7"/>
  <c r="E118" i="7"/>
  <c r="D117" i="11"/>
  <c r="E117" i="11"/>
  <c r="D110" i="28"/>
  <c r="E110" i="28"/>
  <c r="I49" i="17"/>
  <c r="M88" i="51" l="1"/>
  <c r="M89" i="51" s="1"/>
  <c r="L99" i="51"/>
  <c r="M99" i="51" s="1"/>
  <c r="P99" i="51" s="1"/>
  <c r="F102" i="52"/>
  <c r="D103" i="52" s="1"/>
  <c r="B103" i="52" s="1"/>
  <c r="J100" i="52"/>
  <c r="G102" i="52"/>
  <c r="E103" i="52"/>
  <c r="H101" i="52"/>
  <c r="I101" i="52"/>
  <c r="J99" i="51"/>
  <c r="N88" i="51"/>
  <c r="D101" i="51"/>
  <c r="B101" i="51" s="1"/>
  <c r="G100" i="51"/>
  <c r="E101" i="51"/>
  <c r="F102" i="57"/>
  <c r="B102" i="57"/>
  <c r="H101" i="57"/>
  <c r="I101" i="57"/>
  <c r="O88" i="50"/>
  <c r="O89" i="50" s="1"/>
  <c r="N89" i="50"/>
  <c r="D102" i="50"/>
  <c r="G101" i="50"/>
  <c r="J103" i="46"/>
  <c r="J105" i="40"/>
  <c r="J111" i="24"/>
  <c r="J105" i="41"/>
  <c r="J112" i="23"/>
  <c r="J100" i="50"/>
  <c r="J106" i="39"/>
  <c r="J104" i="45"/>
  <c r="J114" i="4"/>
  <c r="J113" i="25"/>
  <c r="J105" i="38"/>
  <c r="J106" i="37"/>
  <c r="J116" i="11"/>
  <c r="J113" i="22"/>
  <c r="J116" i="9"/>
  <c r="F115" i="5"/>
  <c r="H115" i="5" s="1"/>
  <c r="M88" i="5" s="1"/>
  <c r="M89" i="5" s="1"/>
  <c r="B115" i="5"/>
  <c r="F114" i="22"/>
  <c r="B114" i="22"/>
  <c r="J117" i="7"/>
  <c r="B105" i="42"/>
  <c r="J109" i="31"/>
  <c r="B117" i="9"/>
  <c r="M88" i="9"/>
  <c r="M89" i="9" s="1"/>
  <c r="F111" i="27"/>
  <c r="B111" i="27"/>
  <c r="J114" i="3"/>
  <c r="F106" i="40"/>
  <c r="B106" i="40"/>
  <c r="F118" i="7"/>
  <c r="B118" i="7"/>
  <c r="B110" i="31"/>
  <c r="F110" i="31"/>
  <c r="H110" i="31" s="1"/>
  <c r="M88" i="31" s="1"/>
  <c r="M89" i="31" s="1"/>
  <c r="F116" i="8"/>
  <c r="B116" i="8"/>
  <c r="J110" i="27"/>
  <c r="B115" i="3"/>
  <c r="F115" i="3"/>
  <c r="H115" i="3" s="1"/>
  <c r="M88" i="3" s="1"/>
  <c r="M89" i="3" s="1"/>
  <c r="J109" i="29"/>
  <c r="J115" i="8"/>
  <c r="J108" i="30"/>
  <c r="J104" i="44"/>
  <c r="B115" i="4"/>
  <c r="F115" i="4"/>
  <c r="H115" i="4" s="1"/>
  <c r="M88" i="4" s="1"/>
  <c r="M89" i="4" s="1"/>
  <c r="B104" i="46"/>
  <c r="F104" i="46"/>
  <c r="B105" i="45"/>
  <c r="F105" i="45"/>
  <c r="J104" i="42"/>
  <c r="B117" i="11"/>
  <c r="F117" i="11"/>
  <c r="H117" i="11" s="1"/>
  <c r="M88" i="11" s="1"/>
  <c r="M89" i="11" s="1"/>
  <c r="F110" i="29"/>
  <c r="H110" i="29" s="1"/>
  <c r="M88" i="29" s="1"/>
  <c r="M89" i="29" s="1"/>
  <c r="B110" i="29"/>
  <c r="D118" i="10"/>
  <c r="E118" i="10"/>
  <c r="F109" i="30"/>
  <c r="B109" i="30"/>
  <c r="J104" i="43"/>
  <c r="B105" i="44"/>
  <c r="F105" i="44"/>
  <c r="H105" i="44" s="1"/>
  <c r="M88" i="44" s="1"/>
  <c r="M89" i="44" s="1"/>
  <c r="J115" i="6"/>
  <c r="B107" i="37"/>
  <c r="F107" i="37"/>
  <c r="H107" i="37" s="1"/>
  <c r="M88" i="37" s="1"/>
  <c r="M89" i="37" s="1"/>
  <c r="F110" i="28"/>
  <c r="H110" i="28" s="1"/>
  <c r="M88" i="28" s="1"/>
  <c r="M89" i="28" s="1"/>
  <c r="B110" i="28"/>
  <c r="B105" i="43"/>
  <c r="B112" i="24"/>
  <c r="F112" i="24"/>
  <c r="H112" i="24" s="1"/>
  <c r="M88" i="24" s="1"/>
  <c r="M89" i="24" s="1"/>
  <c r="F116" i="6"/>
  <c r="H116" i="6" s="1"/>
  <c r="M88" i="6" s="1"/>
  <c r="M89" i="6" s="1"/>
  <c r="B116" i="6"/>
  <c r="F107" i="39"/>
  <c r="H107" i="39" s="1"/>
  <c r="M88" i="39" s="1"/>
  <c r="M89" i="39" s="1"/>
  <c r="B107" i="39"/>
  <c r="B113" i="23"/>
  <c r="F113" i="23"/>
  <c r="H113" i="23" s="1"/>
  <c r="M88" i="23" s="1"/>
  <c r="M89" i="23" s="1"/>
  <c r="J109" i="28"/>
  <c r="B114" i="25"/>
  <c r="F114" i="25"/>
  <c r="H114" i="25" s="1"/>
  <c r="M88" i="25" s="1"/>
  <c r="M89" i="25" s="1"/>
  <c r="B106" i="38"/>
  <c r="F106" i="38"/>
  <c r="H106" i="38" s="1"/>
  <c r="M88" i="38" s="1"/>
  <c r="M89" i="38" s="1"/>
  <c r="F106" i="41"/>
  <c r="B106" i="41"/>
  <c r="I19" i="17"/>
  <c r="I43" i="17"/>
  <c r="I20" i="17"/>
  <c r="I28" i="17"/>
  <c r="I21" i="17"/>
  <c r="I36" i="17"/>
  <c r="I33" i="17"/>
  <c r="I26" i="17"/>
  <c r="I29" i="17"/>
  <c r="I30" i="17"/>
  <c r="I37" i="17"/>
  <c r="I18" i="17"/>
  <c r="I38" i="17"/>
  <c r="I35" i="17"/>
  <c r="I50" i="17"/>
  <c r="I24" i="17"/>
  <c r="I32" i="17"/>
  <c r="F103" i="52" l="1"/>
  <c r="J101" i="57"/>
  <c r="N89" i="51"/>
  <c r="O88" i="51"/>
  <c r="O89" i="51" s="1"/>
  <c r="J101" i="52"/>
  <c r="D103" i="57"/>
  <c r="G102" i="57"/>
  <c r="E103" i="57"/>
  <c r="G103" i="52"/>
  <c r="D104" i="52"/>
  <c r="F101" i="51"/>
  <c r="I102" i="52"/>
  <c r="H102" i="52"/>
  <c r="H100" i="51"/>
  <c r="I100" i="51"/>
  <c r="E102" i="50"/>
  <c r="F102" i="50" s="1"/>
  <c r="B102" i="50"/>
  <c r="H101" i="50"/>
  <c r="I101" i="50"/>
  <c r="D107" i="40"/>
  <c r="G106" i="40"/>
  <c r="I106" i="40" s="1"/>
  <c r="N88" i="40" s="1"/>
  <c r="E107" i="40"/>
  <c r="H114" i="22"/>
  <c r="M88" i="22" s="1"/>
  <c r="M89" i="22" s="1"/>
  <c r="G114" i="22"/>
  <c r="I114" i="22" s="1"/>
  <c r="N88" i="22" s="1"/>
  <c r="D115" i="22"/>
  <c r="E115" i="22"/>
  <c r="G106" i="41"/>
  <c r="I106" i="41" s="1"/>
  <c r="N88" i="41" s="1"/>
  <c r="D107" i="41"/>
  <c r="E107" i="41"/>
  <c r="G109" i="30"/>
  <c r="I109" i="30" s="1"/>
  <c r="N88" i="30" s="1"/>
  <c r="D110" i="30"/>
  <c r="E110" i="30"/>
  <c r="G110" i="31"/>
  <c r="I110" i="31" s="1"/>
  <c r="N88" i="31" s="1"/>
  <c r="D111" i="31"/>
  <c r="E111" i="31"/>
  <c r="H104" i="46"/>
  <c r="M88" i="46" s="1"/>
  <c r="M89" i="46" s="1"/>
  <c r="G104" i="46"/>
  <c r="I104" i="46" s="1"/>
  <c r="N88" i="46" s="1"/>
  <c r="D105" i="46"/>
  <c r="E105" i="46"/>
  <c r="G106" i="38"/>
  <c r="I106" i="38" s="1"/>
  <c r="D107" i="38"/>
  <c r="E107" i="38"/>
  <c r="D113" i="24"/>
  <c r="G112" i="24"/>
  <c r="I112" i="24" s="1"/>
  <c r="E113" i="24"/>
  <c r="D111" i="28"/>
  <c r="G110" i="28"/>
  <c r="I110" i="28" s="1"/>
  <c r="N88" i="28" s="1"/>
  <c r="E111" i="28"/>
  <c r="G105" i="44"/>
  <c r="I105" i="44" s="1"/>
  <c r="D106" i="44"/>
  <c r="E106" i="44"/>
  <c r="F118" i="10"/>
  <c r="H118" i="10" s="1"/>
  <c r="M88" i="10" s="1"/>
  <c r="M89" i="10" s="1"/>
  <c r="B118" i="10"/>
  <c r="D106" i="42"/>
  <c r="E106" i="42"/>
  <c r="D116" i="5"/>
  <c r="G115" i="5"/>
  <c r="I115" i="5" s="1"/>
  <c r="N88" i="5" s="1"/>
  <c r="E116" i="5"/>
  <c r="J117" i="10"/>
  <c r="H111" i="27"/>
  <c r="M88" i="27" s="1"/>
  <c r="M89" i="27" s="1"/>
  <c r="G111" i="27"/>
  <c r="I111" i="27" s="1"/>
  <c r="N88" i="27" s="1"/>
  <c r="D112" i="27"/>
  <c r="E112" i="27"/>
  <c r="G107" i="37"/>
  <c r="I107" i="37" s="1"/>
  <c r="D108" i="37"/>
  <c r="E108" i="37"/>
  <c r="D116" i="4"/>
  <c r="G115" i="4"/>
  <c r="I115" i="4" s="1"/>
  <c r="E116" i="4"/>
  <c r="H118" i="7"/>
  <c r="M88" i="7" s="1"/>
  <c r="M89" i="7" s="1"/>
  <c r="D119" i="7"/>
  <c r="G118" i="7"/>
  <c r="I118" i="7" s="1"/>
  <c r="N88" i="7" s="1"/>
  <c r="E119" i="7"/>
  <c r="G116" i="8"/>
  <c r="I116" i="8" s="1"/>
  <c r="N88" i="8" s="1"/>
  <c r="D117" i="8"/>
  <c r="E117" i="8"/>
  <c r="G116" i="6"/>
  <c r="I116" i="6" s="1"/>
  <c r="N88" i="6" s="1"/>
  <c r="D117" i="6"/>
  <c r="E117" i="6"/>
  <c r="D118" i="11"/>
  <c r="G117" i="11"/>
  <c r="I117" i="11" s="1"/>
  <c r="E118" i="11"/>
  <c r="G113" i="23"/>
  <c r="I113" i="23" s="1"/>
  <c r="D114" i="23"/>
  <c r="E114" i="23"/>
  <c r="D115" i="25"/>
  <c r="G114" i="25"/>
  <c r="I114" i="25" s="1"/>
  <c r="E115" i="25"/>
  <c r="H106" i="41"/>
  <c r="M88" i="41" s="1"/>
  <c r="M89" i="41" s="1"/>
  <c r="G107" i="39"/>
  <c r="I107" i="39" s="1"/>
  <c r="D108" i="39"/>
  <c r="E108" i="39"/>
  <c r="H116" i="8"/>
  <c r="M88" i="8" s="1"/>
  <c r="M89" i="8" s="1"/>
  <c r="H106" i="40"/>
  <c r="M88" i="40" s="1"/>
  <c r="M89" i="40" s="1"/>
  <c r="I117" i="9"/>
  <c r="D118" i="9"/>
  <c r="E118" i="9"/>
  <c r="D106" i="43"/>
  <c r="E106" i="43"/>
  <c r="H109" i="30"/>
  <c r="M88" i="30" s="1"/>
  <c r="M89" i="30" s="1"/>
  <c r="G110" i="29"/>
  <c r="I110" i="29" s="1"/>
  <c r="N88" i="29" s="1"/>
  <c r="D111" i="29"/>
  <c r="E111" i="29"/>
  <c r="H105" i="45"/>
  <c r="M88" i="45" s="1"/>
  <c r="M89" i="45" s="1"/>
  <c r="D106" i="45"/>
  <c r="G105" i="45"/>
  <c r="I105" i="45" s="1"/>
  <c r="N88" i="45" s="1"/>
  <c r="N89" i="45" s="1"/>
  <c r="E106" i="45"/>
  <c r="D116" i="3"/>
  <c r="G115" i="3"/>
  <c r="I115" i="3" s="1"/>
  <c r="N88" i="3" s="1"/>
  <c r="E116" i="3"/>
  <c r="I39" i="17"/>
  <c r="I31" i="17"/>
  <c r="I45" i="17"/>
  <c r="I34" i="17"/>
  <c r="I22" i="17"/>
  <c r="I40" i="17"/>
  <c r="I23" i="17"/>
  <c r="I27" i="17"/>
  <c r="I44" i="17"/>
  <c r="I25" i="17"/>
  <c r="O88" i="46" l="1"/>
  <c r="O89" i="46" s="1"/>
  <c r="E104" i="52"/>
  <c r="F104" i="52" s="1"/>
  <c r="B104" i="52"/>
  <c r="H103" i="52"/>
  <c r="I103" i="52"/>
  <c r="J100" i="51"/>
  <c r="H102" i="57"/>
  <c r="I102" i="57"/>
  <c r="B103" i="57"/>
  <c r="F103" i="57"/>
  <c r="J102" i="52"/>
  <c r="D102" i="51"/>
  <c r="B102" i="51" s="1"/>
  <c r="G101" i="51"/>
  <c r="E102" i="51"/>
  <c r="O88" i="40"/>
  <c r="O89" i="40" s="1"/>
  <c r="O88" i="41"/>
  <c r="O89" i="41" s="1"/>
  <c r="O88" i="22"/>
  <c r="O89" i="22" s="1"/>
  <c r="N89" i="46"/>
  <c r="O88" i="45"/>
  <c r="O89" i="45" s="1"/>
  <c r="J105" i="44"/>
  <c r="N88" i="44"/>
  <c r="N89" i="41"/>
  <c r="N89" i="40"/>
  <c r="J107" i="39"/>
  <c r="N88" i="39"/>
  <c r="J106" i="38"/>
  <c r="N88" i="38"/>
  <c r="J107" i="37"/>
  <c r="N88" i="37"/>
  <c r="O88" i="31"/>
  <c r="O89" i="31" s="1"/>
  <c r="N89" i="31"/>
  <c r="O88" i="30"/>
  <c r="O89" i="30" s="1"/>
  <c r="N89" i="30"/>
  <c r="O88" i="29"/>
  <c r="O89" i="29" s="1"/>
  <c r="N89" i="29"/>
  <c r="N89" i="28"/>
  <c r="O88" i="28"/>
  <c r="O89" i="28" s="1"/>
  <c r="N89" i="27"/>
  <c r="O88" i="27"/>
  <c r="O89" i="27" s="1"/>
  <c r="J114" i="25"/>
  <c r="N88" i="25"/>
  <c r="J112" i="24"/>
  <c r="N88" i="24"/>
  <c r="J113" i="23"/>
  <c r="N88" i="23"/>
  <c r="N89" i="22"/>
  <c r="J117" i="11"/>
  <c r="N88" i="11"/>
  <c r="J117" i="9"/>
  <c r="N88" i="9"/>
  <c r="O88" i="8"/>
  <c r="O89" i="8" s="1"/>
  <c r="N89" i="8"/>
  <c r="N89" i="7"/>
  <c r="O88" i="7"/>
  <c r="O89" i="7" s="1"/>
  <c r="O88" i="6"/>
  <c r="O89" i="6" s="1"/>
  <c r="N89" i="6"/>
  <c r="N89" i="5"/>
  <c r="O88" i="5"/>
  <c r="O89" i="5" s="1"/>
  <c r="J115" i="4"/>
  <c r="N88" i="4"/>
  <c r="N89" i="3"/>
  <c r="O88" i="3"/>
  <c r="O89" i="3" s="1"/>
  <c r="D103" i="50"/>
  <c r="G102" i="50"/>
  <c r="J105" i="42"/>
  <c r="J105" i="43"/>
  <c r="J101" i="50"/>
  <c r="J104" i="46"/>
  <c r="B106" i="45"/>
  <c r="F106" i="45"/>
  <c r="F106" i="43"/>
  <c r="B106" i="43"/>
  <c r="F118" i="11"/>
  <c r="H118" i="11" s="1"/>
  <c r="B118" i="11"/>
  <c r="J118" i="7"/>
  <c r="J111" i="27"/>
  <c r="B107" i="38"/>
  <c r="F107" i="38"/>
  <c r="H107" i="38" s="1"/>
  <c r="J110" i="31"/>
  <c r="F106" i="42"/>
  <c r="H106" i="42" s="1"/>
  <c r="M88" i="42" s="1"/>
  <c r="M89" i="42" s="1"/>
  <c r="B106" i="42"/>
  <c r="F115" i="22"/>
  <c r="H115" i="22" s="1"/>
  <c r="B115" i="22"/>
  <c r="F115" i="25"/>
  <c r="B115" i="25"/>
  <c r="F117" i="6"/>
  <c r="H117" i="6" s="1"/>
  <c r="B117" i="6"/>
  <c r="J110" i="28"/>
  <c r="J114" i="22"/>
  <c r="F111" i="28"/>
  <c r="H111" i="28" s="1"/>
  <c r="B111" i="28"/>
  <c r="B105" i="46"/>
  <c r="F105" i="46"/>
  <c r="H105" i="46" s="1"/>
  <c r="B110" i="30"/>
  <c r="F110" i="30"/>
  <c r="H110" i="30" s="1"/>
  <c r="J115" i="3"/>
  <c r="J110" i="29"/>
  <c r="B118" i="9"/>
  <c r="F118" i="9"/>
  <c r="B114" i="23"/>
  <c r="F114" i="23"/>
  <c r="H114" i="23" s="1"/>
  <c r="J109" i="30"/>
  <c r="F119" i="7"/>
  <c r="B119" i="7"/>
  <c r="B111" i="29"/>
  <c r="F111" i="29"/>
  <c r="H111" i="29" s="1"/>
  <c r="J116" i="6"/>
  <c r="F116" i="3"/>
  <c r="B116" i="3"/>
  <c r="B108" i="39"/>
  <c r="F108" i="39"/>
  <c r="H108" i="39" s="1"/>
  <c r="B117" i="8"/>
  <c r="F117" i="8"/>
  <c r="H117" i="8" s="1"/>
  <c r="B116" i="4"/>
  <c r="F116" i="4"/>
  <c r="J115" i="5"/>
  <c r="D119" i="10"/>
  <c r="G118" i="10"/>
  <c r="I118" i="10" s="1"/>
  <c r="N88" i="10" s="1"/>
  <c r="E119" i="10"/>
  <c r="J106" i="40"/>
  <c r="B116" i="5"/>
  <c r="F116" i="5"/>
  <c r="H116" i="5" s="1"/>
  <c r="F113" i="24"/>
  <c r="H113" i="24" s="1"/>
  <c r="B113" i="24"/>
  <c r="F107" i="41"/>
  <c r="H107" i="41" s="1"/>
  <c r="B107" i="41"/>
  <c r="F107" i="40"/>
  <c r="H107" i="40" s="1"/>
  <c r="B107" i="40"/>
  <c r="J116" i="8"/>
  <c r="J105" i="45"/>
  <c r="B108" i="37"/>
  <c r="F108" i="37"/>
  <c r="F112" i="27"/>
  <c r="B112" i="27"/>
  <c r="B106" i="44"/>
  <c r="F106" i="44"/>
  <c r="H106" i="44" s="1"/>
  <c r="B111" i="31"/>
  <c r="F111" i="31"/>
  <c r="J106" i="41"/>
  <c r="I41" i="17"/>
  <c r="J103" i="52" l="1"/>
  <c r="F102" i="51"/>
  <c r="G102" i="51" s="1"/>
  <c r="J102" i="57"/>
  <c r="H101" i="51"/>
  <c r="I101" i="51"/>
  <c r="G103" i="57"/>
  <c r="D104" i="57"/>
  <c r="E104" i="57"/>
  <c r="G104" i="52"/>
  <c r="D105" i="52"/>
  <c r="N89" i="44"/>
  <c r="O88" i="44"/>
  <c r="O89" i="44" s="1"/>
  <c r="O88" i="39"/>
  <c r="O89" i="39" s="1"/>
  <c r="N89" i="39"/>
  <c r="N89" i="38"/>
  <c r="O88" i="38"/>
  <c r="O89" i="38" s="1"/>
  <c r="O88" i="37"/>
  <c r="O89" i="37" s="1"/>
  <c r="N89" i="37"/>
  <c r="O88" i="25"/>
  <c r="O89" i="25" s="1"/>
  <c r="N89" i="25"/>
  <c r="O88" i="24"/>
  <c r="O89" i="24" s="1"/>
  <c r="N89" i="24"/>
  <c r="N89" i="23"/>
  <c r="O88" i="23"/>
  <c r="O89" i="23" s="1"/>
  <c r="N89" i="11"/>
  <c r="O88" i="11"/>
  <c r="O89" i="11" s="1"/>
  <c r="O88" i="10"/>
  <c r="O89" i="10" s="1"/>
  <c r="N89" i="10"/>
  <c r="O88" i="9"/>
  <c r="O89" i="9" s="1"/>
  <c r="N89" i="9"/>
  <c r="N89" i="4"/>
  <c r="O88" i="4"/>
  <c r="O89" i="4" s="1"/>
  <c r="H102" i="50"/>
  <c r="I102" i="50"/>
  <c r="E103" i="50"/>
  <c r="F103" i="50" s="1"/>
  <c r="B103" i="50"/>
  <c r="D112" i="31"/>
  <c r="G111" i="31"/>
  <c r="I111" i="31" s="1"/>
  <c r="E112" i="31"/>
  <c r="G108" i="37"/>
  <c r="I108" i="37" s="1"/>
  <c r="D109" i="37"/>
  <c r="E109" i="37"/>
  <c r="D117" i="4"/>
  <c r="G116" i="4"/>
  <c r="I116" i="4" s="1"/>
  <c r="E117" i="4"/>
  <c r="D119" i="9"/>
  <c r="G118" i="9"/>
  <c r="I118" i="9" s="1"/>
  <c r="E119" i="9"/>
  <c r="G115" i="25"/>
  <c r="I115" i="25" s="1"/>
  <c r="D116" i="25"/>
  <c r="E116" i="25"/>
  <c r="H116" i="3"/>
  <c r="G116" i="3"/>
  <c r="I116" i="3" s="1"/>
  <c r="D117" i="3"/>
  <c r="E117" i="3"/>
  <c r="D120" i="7"/>
  <c r="G119" i="7"/>
  <c r="I119" i="7" s="1"/>
  <c r="E120" i="7"/>
  <c r="D106" i="46"/>
  <c r="G105" i="46"/>
  <c r="I105" i="46" s="1"/>
  <c r="J105" i="46" s="1"/>
  <c r="E106" i="46"/>
  <c r="D107" i="44"/>
  <c r="G106" i="44"/>
  <c r="I106" i="44" s="1"/>
  <c r="J106" i="44" s="1"/>
  <c r="E107" i="44"/>
  <c r="J118" i="10"/>
  <c r="D118" i="8"/>
  <c r="G117" i="8"/>
  <c r="I117" i="8" s="1"/>
  <c r="E118" i="8"/>
  <c r="D116" i="22"/>
  <c r="G115" i="22"/>
  <c r="I115" i="22" s="1"/>
  <c r="J115" i="22" s="1"/>
  <c r="E116" i="22"/>
  <c r="D108" i="38"/>
  <c r="G107" i="38"/>
  <c r="I107" i="38" s="1"/>
  <c r="J107" i="38" s="1"/>
  <c r="E108" i="38"/>
  <c r="G118" i="11"/>
  <c r="I118" i="11" s="1"/>
  <c r="J118" i="11" s="1"/>
  <c r="D119" i="11"/>
  <c r="E119" i="11"/>
  <c r="F119" i="10"/>
  <c r="H119" i="10" s="1"/>
  <c r="B119" i="10"/>
  <c r="D114" i="24"/>
  <c r="G113" i="24"/>
  <c r="I113" i="24" s="1"/>
  <c r="J113" i="24" s="1"/>
  <c r="E114" i="24"/>
  <c r="D112" i="29"/>
  <c r="G111" i="29"/>
  <c r="I111" i="29" s="1"/>
  <c r="E112" i="29"/>
  <c r="D115" i="23"/>
  <c r="G114" i="23"/>
  <c r="I114" i="23" s="1"/>
  <c r="J114" i="23" s="1"/>
  <c r="E115" i="23"/>
  <c r="D118" i="6"/>
  <c r="G117" i="6"/>
  <c r="I117" i="6" s="1"/>
  <c r="E118" i="6"/>
  <c r="H106" i="43"/>
  <c r="M88" i="43" s="1"/>
  <c r="M89" i="43" s="1"/>
  <c r="G106" i="43"/>
  <c r="I106" i="43" s="1"/>
  <c r="N88" i="43" s="1"/>
  <c r="D107" i="43"/>
  <c r="E107" i="43"/>
  <c r="H112" i="27"/>
  <c r="G112" i="27"/>
  <c r="I112" i="27" s="1"/>
  <c r="D113" i="27"/>
  <c r="E113" i="27"/>
  <c r="D109" i="39"/>
  <c r="G108" i="39"/>
  <c r="I108" i="39" s="1"/>
  <c r="J108" i="39" s="1"/>
  <c r="E109" i="39"/>
  <c r="G111" i="28"/>
  <c r="I111" i="28" s="1"/>
  <c r="D112" i="28"/>
  <c r="E112" i="28"/>
  <c r="H115" i="25"/>
  <c r="G106" i="42"/>
  <c r="I106" i="42" s="1"/>
  <c r="D107" i="42"/>
  <c r="E107" i="42"/>
  <c r="H106" i="45"/>
  <c r="D107" i="45"/>
  <c r="G106" i="45"/>
  <c r="I106" i="45" s="1"/>
  <c r="E107" i="45"/>
  <c r="G107" i="41"/>
  <c r="I107" i="41" s="1"/>
  <c r="J107" i="41" s="1"/>
  <c r="D108" i="41"/>
  <c r="E108" i="41"/>
  <c r="H111" i="31"/>
  <c r="H108" i="37"/>
  <c r="G107" i="40"/>
  <c r="I107" i="40" s="1"/>
  <c r="J107" i="40" s="1"/>
  <c r="D108" i="40"/>
  <c r="E108" i="40"/>
  <c r="G116" i="5"/>
  <c r="I116" i="5" s="1"/>
  <c r="D117" i="5"/>
  <c r="E117" i="5"/>
  <c r="H116" i="4"/>
  <c r="H119" i="7"/>
  <c r="H118" i="9"/>
  <c r="G110" i="30"/>
  <c r="I110" i="30" s="1"/>
  <c r="D111" i="30"/>
  <c r="E111" i="30"/>
  <c r="I42" i="17"/>
  <c r="J101" i="51" l="1"/>
  <c r="E103" i="51"/>
  <c r="D103" i="51"/>
  <c r="B103" i="51" s="1"/>
  <c r="F104" i="57"/>
  <c r="B104" i="57"/>
  <c r="H103" i="57"/>
  <c r="I103" i="57"/>
  <c r="E105" i="52"/>
  <c r="F105" i="52" s="1"/>
  <c r="B105" i="52"/>
  <c r="I104" i="52"/>
  <c r="H104" i="52"/>
  <c r="H102" i="51"/>
  <c r="I102" i="51"/>
  <c r="O88" i="43"/>
  <c r="O89" i="43" s="1"/>
  <c r="N89" i="43"/>
  <c r="J106" i="42"/>
  <c r="N88" i="42"/>
  <c r="J102" i="50"/>
  <c r="D104" i="50"/>
  <c r="G103" i="50"/>
  <c r="J106" i="45"/>
  <c r="J106" i="43"/>
  <c r="J116" i="5"/>
  <c r="F113" i="27"/>
  <c r="B113" i="27"/>
  <c r="J117" i="6"/>
  <c r="J117" i="8"/>
  <c r="J116" i="4"/>
  <c r="B111" i="30"/>
  <c r="F111" i="30"/>
  <c r="H111" i="30" s="1"/>
  <c r="J112" i="27"/>
  <c r="F118" i="8"/>
  <c r="B118" i="8"/>
  <c r="F117" i="4"/>
  <c r="H117" i="4" s="1"/>
  <c r="B117" i="4"/>
  <c r="J119" i="7"/>
  <c r="J115" i="25"/>
  <c r="B109" i="37"/>
  <c r="F109" i="37"/>
  <c r="B107" i="43"/>
  <c r="F107" i="43"/>
  <c r="H107" i="43" s="1"/>
  <c r="F115" i="23"/>
  <c r="H115" i="23" s="1"/>
  <c r="B115" i="23"/>
  <c r="F120" i="7"/>
  <c r="B120" i="7"/>
  <c r="J108" i="37"/>
  <c r="F118" i="6"/>
  <c r="H118" i="6" s="1"/>
  <c r="B118" i="6"/>
  <c r="F106" i="46"/>
  <c r="H106" i="46" s="1"/>
  <c r="B106" i="46"/>
  <c r="F108" i="40"/>
  <c r="H108" i="40" s="1"/>
  <c r="B108" i="40"/>
  <c r="F107" i="45"/>
  <c r="B107" i="45"/>
  <c r="B108" i="38"/>
  <c r="F108" i="38"/>
  <c r="J118" i="9"/>
  <c r="B112" i="28"/>
  <c r="F112" i="28"/>
  <c r="H112" i="28" s="1"/>
  <c r="F114" i="24"/>
  <c r="H114" i="24" s="1"/>
  <c r="B114" i="24"/>
  <c r="J111" i="28"/>
  <c r="G119" i="10"/>
  <c r="I119" i="10" s="1"/>
  <c r="D120" i="10"/>
  <c r="E120" i="10"/>
  <c r="F107" i="42"/>
  <c r="H107" i="42" s="1"/>
  <c r="B107" i="42"/>
  <c r="B109" i="39"/>
  <c r="F109" i="39"/>
  <c r="J111" i="29"/>
  <c r="B116" i="22"/>
  <c r="F116" i="22"/>
  <c r="F107" i="44"/>
  <c r="H107" i="44" s="1"/>
  <c r="B107" i="44"/>
  <c r="F117" i="3"/>
  <c r="H117" i="3" s="1"/>
  <c r="B117" i="3"/>
  <c r="B119" i="9"/>
  <c r="F119" i="9"/>
  <c r="H119" i="9" s="1"/>
  <c r="J111" i="31"/>
  <c r="J110" i="30"/>
  <c r="F116" i="25"/>
  <c r="H116" i="25" s="1"/>
  <c r="B116" i="25"/>
  <c r="F117" i="5"/>
  <c r="B117" i="5"/>
  <c r="B108" i="41"/>
  <c r="F108" i="41"/>
  <c r="H108" i="41" s="1"/>
  <c r="B112" i="29"/>
  <c r="F112" i="29"/>
  <c r="F119" i="11"/>
  <c r="H119" i="11" s="1"/>
  <c r="B119" i="11"/>
  <c r="J116" i="3"/>
  <c r="F112" i="31"/>
  <c r="H112" i="31" s="1"/>
  <c r="B112" i="31"/>
  <c r="F103" i="51" l="1"/>
  <c r="E104" i="51" s="1"/>
  <c r="J103" i="57"/>
  <c r="J102" i="51"/>
  <c r="J104" i="52"/>
  <c r="G105" i="52"/>
  <c r="D106" i="52"/>
  <c r="B106" i="52" s="1"/>
  <c r="E106" i="52"/>
  <c r="D105" i="57"/>
  <c r="G104" i="57"/>
  <c r="E105" i="57"/>
  <c r="O88" i="42"/>
  <c r="O89" i="42" s="1"/>
  <c r="N89" i="42"/>
  <c r="H103" i="50"/>
  <c r="I103" i="50"/>
  <c r="E104" i="50"/>
  <c r="F104" i="50" s="1"/>
  <c r="B104" i="50"/>
  <c r="D110" i="37"/>
  <c r="G109" i="37"/>
  <c r="I109" i="37" s="1"/>
  <c r="E110" i="37"/>
  <c r="G107" i="44"/>
  <c r="I107" i="44" s="1"/>
  <c r="J107" i="44" s="1"/>
  <c r="D108" i="44"/>
  <c r="E108" i="44"/>
  <c r="G106" i="46"/>
  <c r="I106" i="46" s="1"/>
  <c r="J106" i="46" s="1"/>
  <c r="D107" i="46"/>
  <c r="E107" i="46"/>
  <c r="H117" i="5"/>
  <c r="G117" i="5"/>
  <c r="I117" i="5" s="1"/>
  <c r="D118" i="5"/>
  <c r="E118" i="5"/>
  <c r="D120" i="9"/>
  <c r="G119" i="9"/>
  <c r="I119" i="9" s="1"/>
  <c r="J119" i="9" s="1"/>
  <c r="E120" i="9"/>
  <c r="H116" i="22"/>
  <c r="D117" i="22"/>
  <c r="G116" i="22"/>
  <c r="I116" i="22" s="1"/>
  <c r="E117" i="22"/>
  <c r="G115" i="23"/>
  <c r="I115" i="23" s="1"/>
  <c r="J115" i="23" s="1"/>
  <c r="D116" i="23"/>
  <c r="E116" i="23"/>
  <c r="G112" i="29"/>
  <c r="I112" i="29" s="1"/>
  <c r="D113" i="29"/>
  <c r="E113" i="29"/>
  <c r="G107" i="42"/>
  <c r="I107" i="42" s="1"/>
  <c r="J107" i="42" s="1"/>
  <c r="D108" i="42"/>
  <c r="E108" i="42"/>
  <c r="D115" i="24"/>
  <c r="G114" i="24"/>
  <c r="I114" i="24" s="1"/>
  <c r="J114" i="24" s="1"/>
  <c r="E115" i="24"/>
  <c r="H107" i="45"/>
  <c r="D108" i="45"/>
  <c r="G107" i="45"/>
  <c r="I107" i="45" s="1"/>
  <c r="E108" i="45"/>
  <c r="G109" i="39"/>
  <c r="I109" i="39" s="1"/>
  <c r="D110" i="39"/>
  <c r="E110" i="39"/>
  <c r="G119" i="11"/>
  <c r="I119" i="11" s="1"/>
  <c r="J119" i="11" s="1"/>
  <c r="D120" i="11"/>
  <c r="E120" i="11"/>
  <c r="G116" i="25"/>
  <c r="I116" i="25" s="1"/>
  <c r="J116" i="25" s="1"/>
  <c r="D117" i="25"/>
  <c r="E117" i="25"/>
  <c r="G118" i="6"/>
  <c r="I118" i="6" s="1"/>
  <c r="D119" i="6"/>
  <c r="E119" i="6"/>
  <c r="G107" i="43"/>
  <c r="I107" i="43" s="1"/>
  <c r="J107" i="43" s="1"/>
  <c r="D108" i="43"/>
  <c r="E108" i="43"/>
  <c r="D112" i="30"/>
  <c r="G111" i="30"/>
  <c r="I111" i="30" s="1"/>
  <c r="E112" i="30"/>
  <c r="H113" i="27"/>
  <c r="G113" i="27"/>
  <c r="I113" i="27" s="1"/>
  <c r="D114" i="27"/>
  <c r="E114" i="27"/>
  <c r="H120" i="7"/>
  <c r="G120" i="7"/>
  <c r="I120" i="7" s="1"/>
  <c r="D121" i="7"/>
  <c r="E121" i="7"/>
  <c r="F120" i="10"/>
  <c r="B120" i="10"/>
  <c r="D113" i="28"/>
  <c r="G112" i="28"/>
  <c r="I112" i="28" s="1"/>
  <c r="E113" i="28"/>
  <c r="H108" i="38"/>
  <c r="G108" i="38"/>
  <c r="I108" i="38" s="1"/>
  <c r="D109" i="38"/>
  <c r="E109" i="38"/>
  <c r="H118" i="8"/>
  <c r="G118" i="8"/>
  <c r="I118" i="8" s="1"/>
  <c r="D119" i="8"/>
  <c r="E119" i="8"/>
  <c r="H112" i="29"/>
  <c r="G112" i="31"/>
  <c r="I112" i="31" s="1"/>
  <c r="D113" i="31"/>
  <c r="E113" i="31"/>
  <c r="G108" i="41"/>
  <c r="I108" i="41" s="1"/>
  <c r="J108" i="41" s="1"/>
  <c r="D109" i="41"/>
  <c r="E109" i="41"/>
  <c r="G117" i="3"/>
  <c r="I117" i="3" s="1"/>
  <c r="D118" i="3"/>
  <c r="E118" i="3" s="1"/>
  <c r="H109" i="39"/>
  <c r="J119" i="10"/>
  <c r="D109" i="40"/>
  <c r="G108" i="40"/>
  <c r="I108" i="40" s="1"/>
  <c r="J108" i="40" s="1"/>
  <c r="E109" i="40"/>
  <c r="H109" i="37"/>
  <c r="D118" i="4"/>
  <c r="G117" i="4"/>
  <c r="I117" i="4" s="1"/>
  <c r="J117" i="4" s="1"/>
  <c r="E118" i="4"/>
  <c r="D104" i="51" l="1"/>
  <c r="G103" i="51"/>
  <c r="F106" i="52"/>
  <c r="D107" i="52" s="1"/>
  <c r="B107" i="52" s="1"/>
  <c r="F105" i="57"/>
  <c r="B105" i="57"/>
  <c r="H104" i="57"/>
  <c r="I104" i="57"/>
  <c r="I105" i="52"/>
  <c r="H105" i="52"/>
  <c r="J116" i="22"/>
  <c r="J103" i="50"/>
  <c r="D105" i="50"/>
  <c r="G104" i="50"/>
  <c r="J107" i="45"/>
  <c r="J112" i="29"/>
  <c r="B118" i="4"/>
  <c r="F118" i="4"/>
  <c r="H118" i="4" s="1"/>
  <c r="J112" i="31"/>
  <c r="J108" i="38"/>
  <c r="J118" i="6"/>
  <c r="B110" i="39"/>
  <c r="F110" i="39"/>
  <c r="H110" i="39" s="1"/>
  <c r="B115" i="24"/>
  <c r="F115" i="24"/>
  <c r="H115" i="24" s="1"/>
  <c r="B116" i="23"/>
  <c r="F116" i="23"/>
  <c r="H116" i="23" s="1"/>
  <c r="B120" i="9"/>
  <c r="F120" i="9"/>
  <c r="H120" i="9" s="1"/>
  <c r="J113" i="27"/>
  <c r="J109" i="39"/>
  <c r="B108" i="44"/>
  <c r="F108" i="44"/>
  <c r="H108" i="44" s="1"/>
  <c r="B107" i="46"/>
  <c r="F107" i="46"/>
  <c r="G120" i="10"/>
  <c r="I120" i="10" s="1"/>
  <c r="D121" i="10"/>
  <c r="E121" i="10"/>
  <c r="J117" i="3"/>
  <c r="J120" i="7"/>
  <c r="F112" i="30"/>
  <c r="H112" i="30" s="1"/>
  <c r="B112" i="30"/>
  <c r="B117" i="25"/>
  <c r="F117" i="25"/>
  <c r="H117" i="25" s="1"/>
  <c r="F108" i="42"/>
  <c r="H108" i="42" s="1"/>
  <c r="B108" i="42"/>
  <c r="F118" i="5"/>
  <c r="B118" i="5"/>
  <c r="F119" i="6"/>
  <c r="H119" i="6" s="1"/>
  <c r="B119" i="6"/>
  <c r="B121" i="7"/>
  <c r="F121" i="7"/>
  <c r="H121" i="7" s="1"/>
  <c r="B119" i="8"/>
  <c r="F119" i="8"/>
  <c r="H119" i="8" s="1"/>
  <c r="J112" i="28"/>
  <c r="J117" i="5"/>
  <c r="B118" i="3"/>
  <c r="F118" i="3"/>
  <c r="B109" i="41"/>
  <c r="F109" i="41"/>
  <c r="H109" i="41" s="1"/>
  <c r="J118" i="8"/>
  <c r="F113" i="28"/>
  <c r="B113" i="28"/>
  <c r="B108" i="43"/>
  <c r="F108" i="43"/>
  <c r="H108" i="43" s="1"/>
  <c r="B108" i="45"/>
  <c r="F108" i="45"/>
  <c r="H108" i="45" s="1"/>
  <c r="B117" i="22"/>
  <c r="F117" i="22"/>
  <c r="H117" i="22" s="1"/>
  <c r="J109" i="37"/>
  <c r="F113" i="31"/>
  <c r="H113" i="31" s="1"/>
  <c r="B113" i="31"/>
  <c r="F109" i="38"/>
  <c r="B109" i="38"/>
  <c r="J111" i="30"/>
  <c r="F109" i="40"/>
  <c r="H109" i="40" s="1"/>
  <c r="B109" i="40"/>
  <c r="H120" i="10"/>
  <c r="F114" i="27"/>
  <c r="B114" i="27"/>
  <c r="B120" i="11"/>
  <c r="F120" i="11"/>
  <c r="H120" i="11" s="1"/>
  <c r="B113" i="29"/>
  <c r="F113" i="29"/>
  <c r="F110" i="37"/>
  <c r="B110" i="37"/>
  <c r="E107" i="52" l="1"/>
  <c r="G106" i="52"/>
  <c r="I106" i="52" s="1"/>
  <c r="H103" i="51"/>
  <c r="I103" i="51"/>
  <c r="J103" i="51" s="1"/>
  <c r="B104" i="51"/>
  <c r="F104" i="51"/>
  <c r="J105" i="52"/>
  <c r="J104" i="57"/>
  <c r="G105" i="57"/>
  <c r="D106" i="57"/>
  <c r="E106" i="57"/>
  <c r="F107" i="52"/>
  <c r="H104" i="50"/>
  <c r="I104" i="50"/>
  <c r="E105" i="50"/>
  <c r="F105" i="50" s="1"/>
  <c r="B105" i="50"/>
  <c r="D115" i="27"/>
  <c r="G114" i="27"/>
  <c r="I114" i="27" s="1"/>
  <c r="E115" i="27"/>
  <c r="D114" i="28"/>
  <c r="G113" i="28"/>
  <c r="I113" i="28" s="1"/>
  <c r="E114" i="28"/>
  <c r="D122" i="7"/>
  <c r="G121" i="7"/>
  <c r="I121" i="7" s="1"/>
  <c r="J121" i="7" s="1"/>
  <c r="E122" i="7"/>
  <c r="G112" i="30"/>
  <c r="I112" i="30" s="1"/>
  <c r="J112" i="30" s="1"/>
  <c r="D113" i="30"/>
  <c r="E113" i="30"/>
  <c r="H107" i="46"/>
  <c r="D108" i="46"/>
  <c r="G107" i="46"/>
  <c r="I107" i="46" s="1"/>
  <c r="E108" i="46"/>
  <c r="D114" i="29"/>
  <c r="G113" i="29"/>
  <c r="I113" i="29" s="1"/>
  <c r="E114" i="29"/>
  <c r="G120" i="9"/>
  <c r="I120" i="9" s="1"/>
  <c r="J120" i="9" s="1"/>
  <c r="D121" i="9"/>
  <c r="E121" i="9"/>
  <c r="D110" i="38"/>
  <c r="G109" i="38"/>
  <c r="I109" i="38" s="1"/>
  <c r="E110" i="38"/>
  <c r="G108" i="42"/>
  <c r="I108" i="42" s="1"/>
  <c r="J108" i="42" s="1"/>
  <c r="D109" i="42"/>
  <c r="E109" i="42"/>
  <c r="D111" i="39"/>
  <c r="G110" i="39"/>
  <c r="I110" i="39" s="1"/>
  <c r="J110" i="39" s="1"/>
  <c r="E111" i="39"/>
  <c r="D119" i="4"/>
  <c r="G118" i="4"/>
  <c r="I118" i="4" s="1"/>
  <c r="J118" i="4" s="1"/>
  <c r="E119" i="4"/>
  <c r="H113" i="29"/>
  <c r="D119" i="5"/>
  <c r="G118" i="5"/>
  <c r="I118" i="5" s="1"/>
  <c r="E119" i="5"/>
  <c r="G109" i="41"/>
  <c r="I109" i="41" s="1"/>
  <c r="J109" i="41" s="1"/>
  <c r="D110" i="41"/>
  <c r="E110" i="41"/>
  <c r="G108" i="44"/>
  <c r="I108" i="44" s="1"/>
  <c r="J108" i="44" s="1"/>
  <c r="D109" i="44"/>
  <c r="E109" i="44"/>
  <c r="D116" i="24"/>
  <c r="G115" i="24"/>
  <c r="I115" i="24" s="1"/>
  <c r="J115" i="24" s="1"/>
  <c r="E116" i="24"/>
  <c r="D109" i="45"/>
  <c r="G108" i="45"/>
  <c r="I108" i="45" s="1"/>
  <c r="J108" i="45" s="1"/>
  <c r="E109" i="45"/>
  <c r="G113" i="31"/>
  <c r="I113" i="31" s="1"/>
  <c r="J113" i="31" s="1"/>
  <c r="D114" i="31"/>
  <c r="E114" i="31"/>
  <c r="G108" i="43"/>
  <c r="I108" i="43" s="1"/>
  <c r="J108" i="43" s="1"/>
  <c r="D109" i="43"/>
  <c r="E109" i="43"/>
  <c r="H114" i="27"/>
  <c r="G119" i="6"/>
  <c r="I119" i="6" s="1"/>
  <c r="J119" i="6" s="1"/>
  <c r="D120" i="6"/>
  <c r="E120" i="6"/>
  <c r="D118" i="25"/>
  <c r="G117" i="25"/>
  <c r="I117" i="25" s="1"/>
  <c r="J117" i="25" s="1"/>
  <c r="E118" i="25"/>
  <c r="G116" i="23"/>
  <c r="I116" i="23" s="1"/>
  <c r="J116" i="23" s="1"/>
  <c r="D117" i="23"/>
  <c r="E117" i="23"/>
  <c r="D119" i="3"/>
  <c r="E119" i="3" s="1"/>
  <c r="G118" i="3"/>
  <c r="I118" i="3" s="1"/>
  <c r="F121" i="10"/>
  <c r="B121" i="10"/>
  <c r="J120" i="10"/>
  <c r="G120" i="11"/>
  <c r="I120" i="11" s="1"/>
  <c r="J120" i="11" s="1"/>
  <c r="D121" i="11"/>
  <c r="E121" i="11"/>
  <c r="D110" i="40"/>
  <c r="G109" i="40"/>
  <c r="I109" i="40" s="1"/>
  <c r="J109" i="40" s="1"/>
  <c r="E110" i="40"/>
  <c r="H110" i="37"/>
  <c r="D111" i="37"/>
  <c r="G110" i="37"/>
  <c r="I110" i="37" s="1"/>
  <c r="E111" i="37"/>
  <c r="H109" i="38"/>
  <c r="D118" i="22"/>
  <c r="G117" i="22"/>
  <c r="I117" i="22" s="1"/>
  <c r="J117" i="22" s="1"/>
  <c r="E118" i="22"/>
  <c r="H113" i="28"/>
  <c r="H118" i="3"/>
  <c r="D120" i="8"/>
  <c r="G119" i="8"/>
  <c r="I119" i="8" s="1"/>
  <c r="J119" i="8" s="1"/>
  <c r="E120" i="8"/>
  <c r="H118" i="5"/>
  <c r="H106" i="52" l="1"/>
  <c r="D105" i="51"/>
  <c r="B105" i="51" s="1"/>
  <c r="G104" i="51"/>
  <c r="E105" i="51"/>
  <c r="F105" i="51" s="1"/>
  <c r="F106" i="57"/>
  <c r="B106" i="57"/>
  <c r="H105" i="57"/>
  <c r="I105" i="57"/>
  <c r="G107" i="52"/>
  <c r="D108" i="52"/>
  <c r="B108" i="52" s="1"/>
  <c r="E108" i="52"/>
  <c r="J106" i="52"/>
  <c r="J104" i="50"/>
  <c r="D106" i="50"/>
  <c r="G105" i="50"/>
  <c r="J109" i="38"/>
  <c r="J107" i="46"/>
  <c r="J118" i="3"/>
  <c r="B122" i="7"/>
  <c r="F122" i="7"/>
  <c r="H122" i="7" s="1"/>
  <c r="H121" i="10"/>
  <c r="G121" i="10"/>
  <c r="I121" i="10" s="1"/>
  <c r="D122" i="10"/>
  <c r="E122" i="10"/>
  <c r="B108" i="46"/>
  <c r="F108" i="46"/>
  <c r="H108" i="46" s="1"/>
  <c r="B110" i="41"/>
  <c r="F110" i="41"/>
  <c r="H110" i="41" s="1"/>
  <c r="F118" i="22"/>
  <c r="H118" i="22" s="1"/>
  <c r="B118" i="22"/>
  <c r="F110" i="40"/>
  <c r="H110" i="40" s="1"/>
  <c r="B110" i="40"/>
  <c r="F118" i="25"/>
  <c r="H118" i="25" s="1"/>
  <c r="B118" i="25"/>
  <c r="F116" i="24"/>
  <c r="B116" i="24"/>
  <c r="J118" i="5"/>
  <c r="F111" i="39"/>
  <c r="H111" i="39" s="1"/>
  <c r="B111" i="39"/>
  <c r="B121" i="9"/>
  <c r="F121" i="9"/>
  <c r="J113" i="28"/>
  <c r="F119" i="5"/>
  <c r="H119" i="5" s="1"/>
  <c r="B119" i="5"/>
  <c r="B114" i="28"/>
  <c r="F114" i="28"/>
  <c r="H114" i="28" s="1"/>
  <c r="F109" i="43"/>
  <c r="B109" i="43"/>
  <c r="B121" i="11"/>
  <c r="F121" i="11"/>
  <c r="H121" i="11" s="1"/>
  <c r="B119" i="3"/>
  <c r="F119" i="3"/>
  <c r="H119" i="3" s="1"/>
  <c r="B120" i="6"/>
  <c r="F120" i="6"/>
  <c r="H120" i="6" s="1"/>
  <c r="B109" i="44"/>
  <c r="F109" i="44"/>
  <c r="H109" i="44" s="1"/>
  <c r="F109" i="42"/>
  <c r="H109" i="42" s="1"/>
  <c r="B109" i="42"/>
  <c r="F113" i="30"/>
  <c r="H113" i="30" s="1"/>
  <c r="B113" i="30"/>
  <c r="B119" i="4"/>
  <c r="F119" i="4"/>
  <c r="H119" i="4" s="1"/>
  <c r="B110" i="38"/>
  <c r="F110" i="38"/>
  <c r="J110" i="37"/>
  <c r="J113" i="29"/>
  <c r="J114" i="27"/>
  <c r="B109" i="45"/>
  <c r="F109" i="45"/>
  <c r="B114" i="31"/>
  <c r="F114" i="31"/>
  <c r="F120" i="8"/>
  <c r="H120" i="8" s="1"/>
  <c r="B120" i="8"/>
  <c r="F111" i="37"/>
  <c r="H111" i="37" s="1"/>
  <c r="B111" i="37"/>
  <c r="F117" i="23"/>
  <c r="B117" i="23"/>
  <c r="B114" i="29"/>
  <c r="F114" i="29"/>
  <c r="H114" i="29" s="1"/>
  <c r="B115" i="27"/>
  <c r="F115" i="27"/>
  <c r="H115" i="27" s="1"/>
  <c r="J105" i="57" l="1"/>
  <c r="G105" i="51"/>
  <c r="D106" i="51"/>
  <c r="E106" i="51"/>
  <c r="I104" i="51"/>
  <c r="H104" i="51"/>
  <c r="F108" i="52"/>
  <c r="D109" i="52" s="1"/>
  <c r="B109" i="52" s="1"/>
  <c r="H107" i="52"/>
  <c r="I107" i="52"/>
  <c r="D107" i="57"/>
  <c r="G106" i="57"/>
  <c r="E107" i="57"/>
  <c r="H105" i="50"/>
  <c r="I105" i="50"/>
  <c r="E106" i="50"/>
  <c r="F106" i="50" s="1"/>
  <c r="B106" i="50"/>
  <c r="D115" i="31"/>
  <c r="G114" i="31"/>
  <c r="I114" i="31" s="1"/>
  <c r="E115" i="31"/>
  <c r="G116" i="24"/>
  <c r="I116" i="24" s="1"/>
  <c r="D117" i="24"/>
  <c r="E117" i="24"/>
  <c r="D116" i="27"/>
  <c r="G115" i="27"/>
  <c r="I115" i="27" s="1"/>
  <c r="J115" i="27" s="1"/>
  <c r="E116" i="27"/>
  <c r="G119" i="3"/>
  <c r="I119" i="3" s="1"/>
  <c r="J119" i="3" s="1"/>
  <c r="D120" i="3"/>
  <c r="E120" i="3" s="1"/>
  <c r="H114" i="31"/>
  <c r="H110" i="38"/>
  <c r="G110" i="38"/>
  <c r="I110" i="38" s="1"/>
  <c r="D111" i="38"/>
  <c r="E111" i="38"/>
  <c r="H121" i="9"/>
  <c r="D122" i="9"/>
  <c r="G121" i="9"/>
  <c r="I121" i="9" s="1"/>
  <c r="E122" i="9"/>
  <c r="D110" i="42"/>
  <c r="G109" i="42"/>
  <c r="I109" i="42" s="1"/>
  <c r="J109" i="42" s="1"/>
  <c r="E110" i="42"/>
  <c r="J121" i="10"/>
  <c r="G109" i="43"/>
  <c r="I109" i="43" s="1"/>
  <c r="D110" i="43"/>
  <c r="E110" i="43"/>
  <c r="G111" i="37"/>
  <c r="I111" i="37" s="1"/>
  <c r="J111" i="37" s="1"/>
  <c r="D112" i="37"/>
  <c r="E112" i="37"/>
  <c r="G110" i="41"/>
  <c r="I110" i="41" s="1"/>
  <c r="J110" i="41" s="1"/>
  <c r="D111" i="41"/>
  <c r="E111" i="41"/>
  <c r="H109" i="45"/>
  <c r="G109" i="45"/>
  <c r="I109" i="45" s="1"/>
  <c r="D110" i="45"/>
  <c r="E110" i="45"/>
  <c r="D122" i="11"/>
  <c r="G121" i="11"/>
  <c r="I121" i="11" s="1"/>
  <c r="J121" i="11" s="1"/>
  <c r="E122" i="11"/>
  <c r="G111" i="39"/>
  <c r="I111" i="39" s="1"/>
  <c r="J111" i="39" s="1"/>
  <c r="D112" i="39"/>
  <c r="E112" i="39"/>
  <c r="B122" i="10"/>
  <c r="F122" i="10"/>
  <c r="H122" i="10" s="1"/>
  <c r="D110" i="44"/>
  <c r="G109" i="44"/>
  <c r="I109" i="44" s="1"/>
  <c r="J109" i="44" s="1"/>
  <c r="E110" i="44"/>
  <c r="G114" i="29"/>
  <c r="I114" i="29" s="1"/>
  <c r="J114" i="29" s="1"/>
  <c r="D115" i="29"/>
  <c r="E115" i="29"/>
  <c r="G122" i="7"/>
  <c r="I122" i="7" s="1"/>
  <c r="J122" i="7" s="1"/>
  <c r="D123" i="7"/>
  <c r="E123" i="7"/>
  <c r="D118" i="23"/>
  <c r="G117" i="23"/>
  <c r="I117" i="23" s="1"/>
  <c r="E118" i="23"/>
  <c r="D119" i="22"/>
  <c r="G118" i="22"/>
  <c r="I118" i="22" s="1"/>
  <c r="J118" i="22" s="1"/>
  <c r="E119" i="22"/>
  <c r="D120" i="4"/>
  <c r="G119" i="4"/>
  <c r="I119" i="4" s="1"/>
  <c r="J119" i="4" s="1"/>
  <c r="E120" i="4"/>
  <c r="G114" i="28"/>
  <c r="I114" i="28" s="1"/>
  <c r="J114" i="28" s="1"/>
  <c r="D115" i="28"/>
  <c r="E115" i="28"/>
  <c r="D119" i="25"/>
  <c r="G118" i="25"/>
  <c r="I118" i="25" s="1"/>
  <c r="J118" i="25" s="1"/>
  <c r="E119" i="25"/>
  <c r="H117" i="23"/>
  <c r="D121" i="8"/>
  <c r="G120" i="8"/>
  <c r="I120" i="8" s="1"/>
  <c r="J120" i="8" s="1"/>
  <c r="E121" i="8"/>
  <c r="G113" i="30"/>
  <c r="I113" i="30" s="1"/>
  <c r="J113" i="30" s="1"/>
  <c r="D114" i="30"/>
  <c r="E114" i="30"/>
  <c r="D121" i="6"/>
  <c r="G120" i="6"/>
  <c r="I120" i="6" s="1"/>
  <c r="J120" i="6" s="1"/>
  <c r="E121" i="6"/>
  <c r="H109" i="43"/>
  <c r="D120" i="5"/>
  <c r="G119" i="5"/>
  <c r="I119" i="5" s="1"/>
  <c r="J119" i="5" s="1"/>
  <c r="E120" i="5"/>
  <c r="H116" i="24"/>
  <c r="D111" i="40"/>
  <c r="G110" i="40"/>
  <c r="I110" i="40" s="1"/>
  <c r="J110" i="40" s="1"/>
  <c r="E111" i="40"/>
  <c r="G108" i="46"/>
  <c r="I108" i="46" s="1"/>
  <c r="J108" i="46" s="1"/>
  <c r="D109" i="46"/>
  <c r="E109" i="46"/>
  <c r="E109" i="52" l="1"/>
  <c r="J107" i="52"/>
  <c r="G108" i="52"/>
  <c r="H108" i="52" s="1"/>
  <c r="J104" i="51"/>
  <c r="B106" i="51"/>
  <c r="F106" i="51"/>
  <c r="H105" i="51"/>
  <c r="I105" i="51"/>
  <c r="F109" i="52"/>
  <c r="H106" i="57"/>
  <c r="I106" i="57"/>
  <c r="B107" i="57"/>
  <c r="F107" i="57"/>
  <c r="J105" i="50"/>
  <c r="D107" i="50"/>
  <c r="G106" i="50"/>
  <c r="E107" i="50"/>
  <c r="J110" i="38"/>
  <c r="J121" i="9"/>
  <c r="J109" i="45"/>
  <c r="F121" i="6"/>
  <c r="B121" i="6"/>
  <c r="F122" i="11"/>
  <c r="B122" i="11"/>
  <c r="B116" i="27"/>
  <c r="F116" i="27"/>
  <c r="H116" i="27" s="1"/>
  <c r="G122" i="10"/>
  <c r="I122" i="10" s="1"/>
  <c r="J122" i="10" s="1"/>
  <c r="D123" i="10"/>
  <c r="E123" i="10"/>
  <c r="F112" i="37"/>
  <c r="B112" i="37"/>
  <c r="B110" i="42"/>
  <c r="F110" i="42"/>
  <c r="H110" i="42" s="1"/>
  <c r="B120" i="4"/>
  <c r="F120" i="4"/>
  <c r="H120" i="4" s="1"/>
  <c r="B114" i="30"/>
  <c r="F114" i="30"/>
  <c r="H114" i="30" s="1"/>
  <c r="B119" i="25"/>
  <c r="F119" i="25"/>
  <c r="H119" i="25" s="1"/>
  <c r="F110" i="45"/>
  <c r="H110" i="45" s="1"/>
  <c r="B110" i="45"/>
  <c r="F117" i="24"/>
  <c r="H117" i="24" s="1"/>
  <c r="B117" i="24"/>
  <c r="F110" i="44"/>
  <c r="B110" i="44"/>
  <c r="J116" i="24"/>
  <c r="B111" i="40"/>
  <c r="F111" i="40"/>
  <c r="H111" i="40" s="1"/>
  <c r="F119" i="22"/>
  <c r="H119" i="22" s="1"/>
  <c r="B119" i="22"/>
  <c r="F120" i="5"/>
  <c r="H120" i="5" s="1"/>
  <c r="B120" i="5"/>
  <c r="F112" i="39"/>
  <c r="B112" i="39"/>
  <c r="B110" i="43"/>
  <c r="F110" i="43"/>
  <c r="H110" i="43" s="1"/>
  <c r="B122" i="9"/>
  <c r="F122" i="9"/>
  <c r="H122" i="9" s="1"/>
  <c r="B120" i="3"/>
  <c r="F120" i="3"/>
  <c r="H120" i="3" s="1"/>
  <c r="B111" i="38"/>
  <c r="F111" i="38"/>
  <c r="B123" i="7"/>
  <c r="F123" i="7"/>
  <c r="F109" i="46"/>
  <c r="B109" i="46"/>
  <c r="J117" i="23"/>
  <c r="J109" i="43"/>
  <c r="J114" i="31"/>
  <c r="F115" i="29"/>
  <c r="B115" i="29"/>
  <c r="B115" i="28"/>
  <c r="F115" i="28"/>
  <c r="H115" i="28" s="1"/>
  <c r="F121" i="8"/>
  <c r="H121" i="8" s="1"/>
  <c r="B121" i="8"/>
  <c r="F118" i="23"/>
  <c r="H118" i="23" s="1"/>
  <c r="B118" i="23"/>
  <c r="B111" i="41"/>
  <c r="F111" i="41"/>
  <c r="H111" i="41" s="1"/>
  <c r="B115" i="31"/>
  <c r="F115" i="31"/>
  <c r="J105" i="51" l="1"/>
  <c r="I108" i="52"/>
  <c r="G106" i="51"/>
  <c r="D107" i="51"/>
  <c r="E107" i="51"/>
  <c r="J108" i="52"/>
  <c r="J106" i="57"/>
  <c r="D108" i="57"/>
  <c r="G107" i="57"/>
  <c r="E108" i="57"/>
  <c r="D110" i="52"/>
  <c r="B110" i="52" s="1"/>
  <c r="G109" i="52"/>
  <c r="E110" i="52"/>
  <c r="H106" i="50"/>
  <c r="I106" i="50"/>
  <c r="B107" i="50"/>
  <c r="F107" i="50"/>
  <c r="H111" i="38"/>
  <c r="D112" i="38"/>
  <c r="G111" i="38"/>
  <c r="I111" i="38" s="1"/>
  <c r="E112" i="38"/>
  <c r="G110" i="44"/>
  <c r="I110" i="44" s="1"/>
  <c r="D111" i="44"/>
  <c r="E111" i="44"/>
  <c r="G121" i="8"/>
  <c r="I121" i="8" s="1"/>
  <c r="J121" i="8" s="1"/>
  <c r="D122" i="8"/>
  <c r="E122" i="8"/>
  <c r="G119" i="22"/>
  <c r="I119" i="22" s="1"/>
  <c r="J119" i="22" s="1"/>
  <c r="D120" i="22"/>
  <c r="E120" i="22"/>
  <c r="G110" i="42"/>
  <c r="I110" i="42" s="1"/>
  <c r="J110" i="42" s="1"/>
  <c r="D111" i="42"/>
  <c r="E111" i="42"/>
  <c r="G116" i="27"/>
  <c r="I116" i="27" s="1"/>
  <c r="J116" i="27" s="1"/>
  <c r="D117" i="27"/>
  <c r="E117" i="27"/>
  <c r="D120" i="25"/>
  <c r="G119" i="25"/>
  <c r="I119" i="25" s="1"/>
  <c r="J119" i="25" s="1"/>
  <c r="E120" i="25"/>
  <c r="D112" i="41"/>
  <c r="G111" i="41"/>
  <c r="I111" i="41" s="1"/>
  <c r="J111" i="41" s="1"/>
  <c r="E112" i="41"/>
  <c r="D121" i="3"/>
  <c r="E121" i="3" s="1"/>
  <c r="G120" i="3"/>
  <c r="I120" i="3" s="1"/>
  <c r="J120" i="3" s="1"/>
  <c r="D116" i="28"/>
  <c r="G115" i="28"/>
  <c r="I115" i="28" s="1"/>
  <c r="J115" i="28" s="1"/>
  <c r="E116" i="28"/>
  <c r="H112" i="39"/>
  <c r="G112" i="39"/>
  <c r="I112" i="39" s="1"/>
  <c r="D113" i="39"/>
  <c r="E113" i="39"/>
  <c r="D112" i="40"/>
  <c r="G111" i="40"/>
  <c r="I111" i="40" s="1"/>
  <c r="J111" i="40" s="1"/>
  <c r="E112" i="40"/>
  <c r="G117" i="24"/>
  <c r="I117" i="24" s="1"/>
  <c r="J117" i="24" s="1"/>
  <c r="D118" i="24"/>
  <c r="E118" i="24"/>
  <c r="G114" i="30"/>
  <c r="I114" i="30" s="1"/>
  <c r="J114" i="30" s="1"/>
  <c r="D115" i="30"/>
  <c r="E115" i="30"/>
  <c r="G110" i="43"/>
  <c r="I110" i="43" s="1"/>
  <c r="J110" i="43" s="1"/>
  <c r="D111" i="43"/>
  <c r="E111" i="43"/>
  <c r="H109" i="46"/>
  <c r="G109" i="46"/>
  <c r="I109" i="46" s="1"/>
  <c r="D110" i="46"/>
  <c r="E110" i="46"/>
  <c r="H112" i="37"/>
  <c r="D113" i="37"/>
  <c r="G112" i="37"/>
  <c r="I112" i="37" s="1"/>
  <c r="E113" i="37"/>
  <c r="H122" i="11"/>
  <c r="G122" i="11"/>
  <c r="I122" i="11" s="1"/>
  <c r="D123" i="11"/>
  <c r="E123" i="11"/>
  <c r="D116" i="31"/>
  <c r="G115" i="31"/>
  <c r="I115" i="31" s="1"/>
  <c r="E116" i="31"/>
  <c r="G115" i="29"/>
  <c r="I115" i="29" s="1"/>
  <c r="D116" i="29"/>
  <c r="E116" i="29"/>
  <c r="H115" i="29"/>
  <c r="H123" i="7"/>
  <c r="D124" i="7"/>
  <c r="G123" i="7"/>
  <c r="I123" i="7" s="1"/>
  <c r="E124" i="7"/>
  <c r="G122" i="9"/>
  <c r="I122" i="9" s="1"/>
  <c r="J122" i="9" s="1"/>
  <c r="D123" i="9"/>
  <c r="E123" i="9"/>
  <c r="H115" i="31"/>
  <c r="G118" i="23"/>
  <c r="I118" i="23" s="1"/>
  <c r="J118" i="23" s="1"/>
  <c r="D119" i="23"/>
  <c r="E119" i="23"/>
  <c r="D121" i="5"/>
  <c r="G120" i="5"/>
  <c r="I120" i="5" s="1"/>
  <c r="J120" i="5" s="1"/>
  <c r="E121" i="5"/>
  <c r="H110" i="44"/>
  <c r="D111" i="45"/>
  <c r="G110" i="45"/>
  <c r="I110" i="45" s="1"/>
  <c r="J110" i="45" s="1"/>
  <c r="E111" i="45"/>
  <c r="G120" i="4"/>
  <c r="I120" i="4" s="1"/>
  <c r="J120" i="4" s="1"/>
  <c r="D121" i="4"/>
  <c r="E121" i="4"/>
  <c r="F123" i="10"/>
  <c r="B123" i="10"/>
  <c r="H121" i="6"/>
  <c r="D122" i="6"/>
  <c r="G121" i="6"/>
  <c r="I121" i="6" s="1"/>
  <c r="E122" i="6"/>
  <c r="B107" i="51" l="1"/>
  <c r="F107" i="51"/>
  <c r="H106" i="51"/>
  <c r="I106" i="51"/>
  <c r="H107" i="57"/>
  <c r="I107" i="57"/>
  <c r="F108" i="57"/>
  <c r="B108" i="57"/>
  <c r="F110" i="52"/>
  <c r="I109" i="52"/>
  <c r="H109" i="52"/>
  <c r="J106" i="50"/>
  <c r="G107" i="50"/>
  <c r="D108" i="50"/>
  <c r="J111" i="38"/>
  <c r="J115" i="29"/>
  <c r="J112" i="37"/>
  <c r="J115" i="31"/>
  <c r="J121" i="6"/>
  <c r="F112" i="41"/>
  <c r="H112" i="41" s="1"/>
  <c r="B112" i="41"/>
  <c r="B121" i="4"/>
  <c r="F121" i="4"/>
  <c r="H121" i="4" s="1"/>
  <c r="F121" i="5"/>
  <c r="B121" i="5"/>
  <c r="B111" i="43"/>
  <c r="F111" i="43"/>
  <c r="H111" i="43" s="1"/>
  <c r="F111" i="44"/>
  <c r="H111" i="44" s="1"/>
  <c r="B111" i="44"/>
  <c r="J123" i="7"/>
  <c r="B113" i="37"/>
  <c r="F113" i="37"/>
  <c r="H113" i="37" s="1"/>
  <c r="F116" i="28"/>
  <c r="H116" i="28" s="1"/>
  <c r="B116" i="28"/>
  <c r="J110" i="44"/>
  <c r="F123" i="9"/>
  <c r="B123" i="9"/>
  <c r="F118" i="24"/>
  <c r="H118" i="24" s="1"/>
  <c r="B118" i="24"/>
  <c r="B119" i="23"/>
  <c r="F119" i="23"/>
  <c r="H119" i="23" s="1"/>
  <c r="F124" i="7"/>
  <c r="H124" i="7" s="1"/>
  <c r="B124" i="7"/>
  <c r="B116" i="31"/>
  <c r="F116" i="31"/>
  <c r="H116" i="31" s="1"/>
  <c r="F112" i="40"/>
  <c r="B112" i="40"/>
  <c r="B120" i="25"/>
  <c r="F120" i="25"/>
  <c r="H120" i="25" s="1"/>
  <c r="F120" i="22"/>
  <c r="H120" i="22" s="1"/>
  <c r="B120" i="22"/>
  <c r="B111" i="42"/>
  <c r="F111" i="42"/>
  <c r="B122" i="6"/>
  <c r="F122" i="6"/>
  <c r="H122" i="6" s="1"/>
  <c r="F115" i="30"/>
  <c r="H115" i="30" s="1"/>
  <c r="B115" i="30"/>
  <c r="F116" i="29"/>
  <c r="B116" i="29"/>
  <c r="B111" i="45"/>
  <c r="F111" i="45"/>
  <c r="F123" i="11"/>
  <c r="H123" i="11" s="1"/>
  <c r="B123" i="11"/>
  <c r="B110" i="46"/>
  <c r="F110" i="46"/>
  <c r="H110" i="46" s="1"/>
  <c r="F113" i="39"/>
  <c r="H113" i="39" s="1"/>
  <c r="B113" i="39"/>
  <c r="F121" i="3"/>
  <c r="H121" i="3" s="1"/>
  <c r="B121" i="3"/>
  <c r="B117" i="27"/>
  <c r="F117" i="27"/>
  <c r="H117" i="27" s="1"/>
  <c r="F112" i="38"/>
  <c r="B112" i="38"/>
  <c r="H123" i="10"/>
  <c r="D124" i="10"/>
  <c r="G123" i="10"/>
  <c r="I123" i="10" s="1"/>
  <c r="E124" i="10"/>
  <c r="J122" i="11"/>
  <c r="J109" i="46"/>
  <c r="J112" i="39"/>
  <c r="B122" i="8"/>
  <c r="F122" i="8"/>
  <c r="H122" i="8" s="1"/>
  <c r="J107" i="57" l="1"/>
  <c r="J106" i="51"/>
  <c r="G107" i="51"/>
  <c r="D108" i="51"/>
  <c r="B108" i="51" s="1"/>
  <c r="E108" i="51"/>
  <c r="D111" i="52"/>
  <c r="B111" i="52" s="1"/>
  <c r="G110" i="52"/>
  <c r="E111" i="52"/>
  <c r="J109" i="52"/>
  <c r="G108" i="57"/>
  <c r="D109" i="57"/>
  <c r="E109" i="57"/>
  <c r="E108" i="50"/>
  <c r="F108" i="50" s="1"/>
  <c r="B108" i="50"/>
  <c r="H107" i="50"/>
  <c r="I107" i="50"/>
  <c r="J123" i="10"/>
  <c r="D117" i="29"/>
  <c r="G116" i="29"/>
  <c r="I116" i="29" s="1"/>
  <c r="E117" i="29"/>
  <c r="G115" i="30"/>
  <c r="I115" i="30" s="1"/>
  <c r="J115" i="30" s="1"/>
  <c r="D116" i="30"/>
  <c r="E116" i="30"/>
  <c r="G116" i="31"/>
  <c r="I116" i="31" s="1"/>
  <c r="J116" i="31" s="1"/>
  <c r="D117" i="31"/>
  <c r="E117" i="31"/>
  <c r="G111" i="44"/>
  <c r="I111" i="44" s="1"/>
  <c r="J111" i="44" s="1"/>
  <c r="D112" i="44"/>
  <c r="E112" i="44"/>
  <c r="D122" i="4"/>
  <c r="G121" i="4"/>
  <c r="I121" i="4" s="1"/>
  <c r="J121" i="4" s="1"/>
  <c r="E122" i="4"/>
  <c r="H112" i="38"/>
  <c r="D113" i="38"/>
  <c r="G112" i="38"/>
  <c r="I112" i="38" s="1"/>
  <c r="E113" i="38"/>
  <c r="H111" i="45"/>
  <c r="G111" i="45"/>
  <c r="I111" i="45" s="1"/>
  <c r="D112" i="45"/>
  <c r="E112" i="45"/>
  <c r="D117" i="28"/>
  <c r="G116" i="28"/>
  <c r="I116" i="28" s="1"/>
  <c r="J116" i="28" s="1"/>
  <c r="E117" i="28"/>
  <c r="G123" i="9"/>
  <c r="I123" i="9" s="1"/>
  <c r="D124" i="9"/>
  <c r="E124" i="9"/>
  <c r="D124" i="11"/>
  <c r="G123" i="11"/>
  <c r="I123" i="11" s="1"/>
  <c r="J123" i="11" s="1"/>
  <c r="E124" i="11"/>
  <c r="G120" i="22"/>
  <c r="I120" i="22" s="1"/>
  <c r="J120" i="22" s="1"/>
  <c r="D121" i="22"/>
  <c r="E121" i="22"/>
  <c r="D123" i="6"/>
  <c r="G122" i="6"/>
  <c r="I122" i="6" s="1"/>
  <c r="J122" i="6" s="1"/>
  <c r="E123" i="6"/>
  <c r="G120" i="25"/>
  <c r="I120" i="25" s="1"/>
  <c r="J120" i="25" s="1"/>
  <c r="D121" i="25"/>
  <c r="E121" i="25"/>
  <c r="G118" i="24"/>
  <c r="I118" i="24" s="1"/>
  <c r="J118" i="24" s="1"/>
  <c r="D119" i="24"/>
  <c r="E119" i="24"/>
  <c r="D112" i="43"/>
  <c r="G111" i="43"/>
  <c r="I111" i="43" s="1"/>
  <c r="J111" i="43" s="1"/>
  <c r="E112" i="43"/>
  <c r="B124" i="10"/>
  <c r="F124" i="10"/>
  <c r="H124" i="10" s="1"/>
  <c r="D113" i="40"/>
  <c r="G112" i="40"/>
  <c r="I112" i="40" s="1"/>
  <c r="E113" i="40"/>
  <c r="G121" i="5"/>
  <c r="I121" i="5" s="1"/>
  <c r="D122" i="5"/>
  <c r="E122" i="5"/>
  <c r="G122" i="8"/>
  <c r="I122" i="8" s="1"/>
  <c r="J122" i="8" s="1"/>
  <c r="D123" i="8"/>
  <c r="E123" i="8"/>
  <c r="H116" i="29"/>
  <c r="H123" i="9"/>
  <c r="G113" i="37"/>
  <c r="I113" i="37" s="1"/>
  <c r="J113" i="37" s="1"/>
  <c r="D114" i="37"/>
  <c r="E114" i="37"/>
  <c r="G119" i="23"/>
  <c r="I119" i="23" s="1"/>
  <c r="J119" i="23" s="1"/>
  <c r="D120" i="23"/>
  <c r="E120" i="23"/>
  <c r="D122" i="3"/>
  <c r="E122" i="3" s="1"/>
  <c r="G121" i="3"/>
  <c r="I121" i="3" s="1"/>
  <c r="J121" i="3" s="1"/>
  <c r="D114" i="39"/>
  <c r="G113" i="39"/>
  <c r="I113" i="39" s="1"/>
  <c r="J113" i="39" s="1"/>
  <c r="E114" i="39"/>
  <c r="D118" i="27"/>
  <c r="G117" i="27"/>
  <c r="I117" i="27" s="1"/>
  <c r="J117" i="27" s="1"/>
  <c r="E118" i="27"/>
  <c r="D111" i="46"/>
  <c r="G110" i="46"/>
  <c r="I110" i="46" s="1"/>
  <c r="J110" i="46" s="1"/>
  <c r="E111" i="46"/>
  <c r="H111" i="42"/>
  <c r="D112" i="42"/>
  <c r="G111" i="42"/>
  <c r="I111" i="42" s="1"/>
  <c r="E112" i="42"/>
  <c r="H112" i="40"/>
  <c r="D125" i="7"/>
  <c r="G124" i="7"/>
  <c r="I124" i="7" s="1"/>
  <c r="J124" i="7" s="1"/>
  <c r="E125" i="7"/>
  <c r="H121" i="5"/>
  <c r="G112" i="41"/>
  <c r="I112" i="41" s="1"/>
  <c r="J112" i="41" s="1"/>
  <c r="D113" i="41"/>
  <c r="E113" i="41"/>
  <c r="F108" i="51" l="1"/>
  <c r="F111" i="52"/>
  <c r="D109" i="51"/>
  <c r="B109" i="51" s="1"/>
  <c r="G108" i="51"/>
  <c r="E109" i="51"/>
  <c r="H107" i="51"/>
  <c r="I107" i="51"/>
  <c r="B109" i="57"/>
  <c r="F109" i="57"/>
  <c r="D112" i="52"/>
  <c r="G111" i="52"/>
  <c r="H108" i="57"/>
  <c r="I108" i="57"/>
  <c r="I110" i="52"/>
  <c r="H110" i="52"/>
  <c r="J107" i="50"/>
  <c r="G108" i="50"/>
  <c r="D109" i="50"/>
  <c r="J111" i="45"/>
  <c r="B117" i="31"/>
  <c r="F117" i="31"/>
  <c r="H117" i="31" s="1"/>
  <c r="F114" i="39"/>
  <c r="H114" i="39" s="1"/>
  <c r="B114" i="39"/>
  <c r="B114" i="37"/>
  <c r="F114" i="37"/>
  <c r="F122" i="5"/>
  <c r="H122" i="5" s="1"/>
  <c r="B122" i="5"/>
  <c r="J121" i="5"/>
  <c r="B124" i="11"/>
  <c r="F124" i="11"/>
  <c r="H124" i="11" s="1"/>
  <c r="F112" i="45"/>
  <c r="H112" i="45" s="1"/>
  <c r="B112" i="45"/>
  <c r="B123" i="6"/>
  <c r="F123" i="6"/>
  <c r="H123" i="6" s="1"/>
  <c r="F124" i="9"/>
  <c r="B124" i="9"/>
  <c r="B121" i="25"/>
  <c r="F121" i="25"/>
  <c r="B116" i="30"/>
  <c r="F116" i="30"/>
  <c r="H116" i="30" s="1"/>
  <c r="F122" i="3"/>
  <c r="B122" i="3"/>
  <c r="B113" i="40"/>
  <c r="F113" i="40"/>
  <c r="H113" i="40" s="1"/>
  <c r="B119" i="24"/>
  <c r="F119" i="24"/>
  <c r="J123" i="9"/>
  <c r="F112" i="44"/>
  <c r="B112" i="44"/>
  <c r="F117" i="28"/>
  <c r="H117" i="28" s="1"/>
  <c r="B117" i="28"/>
  <c r="F125" i="7"/>
  <c r="H125" i="7" s="1"/>
  <c r="B125" i="7"/>
  <c r="B112" i="43"/>
  <c r="F112" i="43"/>
  <c r="H112" i="43" s="1"/>
  <c r="B122" i="4"/>
  <c r="F122" i="4"/>
  <c r="H122" i="4" s="1"/>
  <c r="F113" i="41"/>
  <c r="B113" i="41"/>
  <c r="F118" i="27"/>
  <c r="B118" i="27"/>
  <c r="B123" i="8"/>
  <c r="F123" i="8"/>
  <c r="H123" i="8" s="1"/>
  <c r="B121" i="22"/>
  <c r="F121" i="22"/>
  <c r="H121" i="22" s="1"/>
  <c r="J112" i="38"/>
  <c r="J116" i="29"/>
  <c r="F111" i="46"/>
  <c r="H111" i="46" s="1"/>
  <c r="B111" i="46"/>
  <c r="J112" i="40"/>
  <c r="J111" i="42"/>
  <c r="B120" i="23"/>
  <c r="F120" i="23"/>
  <c r="H120" i="23" s="1"/>
  <c r="B112" i="42"/>
  <c r="F112" i="42"/>
  <c r="H112" i="42" s="1"/>
  <c r="G124" i="10"/>
  <c r="I124" i="10" s="1"/>
  <c r="J124" i="10" s="1"/>
  <c r="D125" i="10"/>
  <c r="E125" i="10"/>
  <c r="F113" i="38"/>
  <c r="H113" i="38" s="1"/>
  <c r="B113" i="38"/>
  <c r="F117" i="29"/>
  <c r="H117" i="29" s="1"/>
  <c r="B117" i="29"/>
  <c r="J107" i="51" l="1"/>
  <c r="F109" i="51"/>
  <c r="J108" i="57"/>
  <c r="D110" i="51"/>
  <c r="G109" i="51"/>
  <c r="E110" i="51"/>
  <c r="H108" i="51"/>
  <c r="I108" i="51"/>
  <c r="J110" i="52"/>
  <c r="I111" i="52"/>
  <c r="H111" i="52"/>
  <c r="E112" i="52"/>
  <c r="F112" i="52" s="1"/>
  <c r="B112" i="52"/>
  <c r="D110" i="57"/>
  <c r="G109" i="57"/>
  <c r="E110" i="57"/>
  <c r="E109" i="50"/>
  <c r="F109" i="50" s="1"/>
  <c r="B109" i="50"/>
  <c r="H108" i="50"/>
  <c r="I108" i="50"/>
  <c r="G118" i="27"/>
  <c r="I118" i="27" s="1"/>
  <c r="D119" i="27"/>
  <c r="E119" i="27"/>
  <c r="D122" i="22"/>
  <c r="G121" i="22"/>
  <c r="I121" i="22" s="1"/>
  <c r="J121" i="22" s="1"/>
  <c r="E122" i="22"/>
  <c r="G124" i="9"/>
  <c r="I124" i="9" s="1"/>
  <c r="D125" i="9"/>
  <c r="E125" i="9"/>
  <c r="H113" i="41"/>
  <c r="D114" i="41"/>
  <c r="G113" i="41"/>
  <c r="I113" i="41" s="1"/>
  <c r="E114" i="41"/>
  <c r="H119" i="24"/>
  <c r="G119" i="24"/>
  <c r="I119" i="24" s="1"/>
  <c r="D120" i="24"/>
  <c r="E120" i="24"/>
  <c r="D123" i="3"/>
  <c r="G122" i="3"/>
  <c r="I122" i="3" s="1"/>
  <c r="E123" i="3"/>
  <c r="D126" i="7"/>
  <c r="G125" i="7"/>
  <c r="I125" i="7" s="1"/>
  <c r="J125" i="7" s="1"/>
  <c r="E126" i="7"/>
  <c r="D117" i="30"/>
  <c r="G116" i="30"/>
  <c r="I116" i="30" s="1"/>
  <c r="J116" i="30" s="1"/>
  <c r="E117" i="30"/>
  <c r="G123" i="6"/>
  <c r="I123" i="6" s="1"/>
  <c r="J123" i="6" s="1"/>
  <c r="D124" i="6"/>
  <c r="E124" i="6"/>
  <c r="G114" i="37"/>
  <c r="I114" i="37" s="1"/>
  <c r="D115" i="37"/>
  <c r="E115" i="37"/>
  <c r="G124" i="11"/>
  <c r="I124" i="11" s="1"/>
  <c r="J124" i="11" s="1"/>
  <c r="D125" i="11"/>
  <c r="E125" i="11"/>
  <c r="G117" i="29"/>
  <c r="I117" i="29" s="1"/>
  <c r="J117" i="29" s="1"/>
  <c r="D118" i="29"/>
  <c r="E118" i="29"/>
  <c r="D113" i="42"/>
  <c r="G112" i="42"/>
  <c r="I112" i="42" s="1"/>
  <c r="J112" i="42" s="1"/>
  <c r="E113" i="42"/>
  <c r="G123" i="8"/>
  <c r="I123" i="8" s="1"/>
  <c r="J123" i="8" s="1"/>
  <c r="D124" i="8"/>
  <c r="E124" i="8"/>
  <c r="D123" i="4"/>
  <c r="G122" i="4"/>
  <c r="I122" i="4" s="1"/>
  <c r="J122" i="4" s="1"/>
  <c r="E123" i="4"/>
  <c r="G114" i="39"/>
  <c r="I114" i="39" s="1"/>
  <c r="J114" i="39" s="1"/>
  <c r="D115" i="39"/>
  <c r="E115" i="39"/>
  <c r="B125" i="10"/>
  <c r="F125" i="10"/>
  <c r="H125" i="10" s="1"/>
  <c r="D112" i="46"/>
  <c r="G111" i="46"/>
  <c r="I111" i="46" s="1"/>
  <c r="J111" i="46" s="1"/>
  <c r="E112" i="46"/>
  <c r="G113" i="40"/>
  <c r="I113" i="40" s="1"/>
  <c r="J113" i="40" s="1"/>
  <c r="D114" i="40"/>
  <c r="E114" i="40"/>
  <c r="H121" i="25"/>
  <c r="G121" i="25"/>
  <c r="I121" i="25" s="1"/>
  <c r="D122" i="25"/>
  <c r="E122" i="25"/>
  <c r="H112" i="44"/>
  <c r="D113" i="44"/>
  <c r="G112" i="44"/>
  <c r="I112" i="44" s="1"/>
  <c r="E113" i="44"/>
  <c r="H118" i="27"/>
  <c r="D118" i="28"/>
  <c r="G117" i="28"/>
  <c r="I117" i="28" s="1"/>
  <c r="J117" i="28" s="1"/>
  <c r="E118" i="28"/>
  <c r="G122" i="5"/>
  <c r="I122" i="5" s="1"/>
  <c r="J122" i="5" s="1"/>
  <c r="D123" i="5"/>
  <c r="E123" i="5"/>
  <c r="G117" i="31"/>
  <c r="I117" i="31" s="1"/>
  <c r="J117" i="31" s="1"/>
  <c r="D118" i="31"/>
  <c r="E118" i="31"/>
  <c r="G113" i="38"/>
  <c r="I113" i="38" s="1"/>
  <c r="J113" i="38" s="1"/>
  <c r="D114" i="38"/>
  <c r="E114" i="38"/>
  <c r="G120" i="23"/>
  <c r="I120" i="23" s="1"/>
  <c r="J120" i="23" s="1"/>
  <c r="D121" i="23"/>
  <c r="E121" i="23"/>
  <c r="D113" i="43"/>
  <c r="G112" i="43"/>
  <c r="I112" i="43" s="1"/>
  <c r="J112" i="43" s="1"/>
  <c r="E113" i="43"/>
  <c r="H122" i="3"/>
  <c r="H124" i="9"/>
  <c r="D113" i="45"/>
  <c r="G112" i="45"/>
  <c r="I112" i="45" s="1"/>
  <c r="J112" i="45" s="1"/>
  <c r="E113" i="45"/>
  <c r="H114" i="37"/>
  <c r="J108" i="51" l="1"/>
  <c r="H109" i="51"/>
  <c r="I109" i="51"/>
  <c r="B110" i="51"/>
  <c r="F110" i="51"/>
  <c r="H109" i="57"/>
  <c r="I109" i="57"/>
  <c r="F110" i="57"/>
  <c r="B110" i="57"/>
  <c r="D113" i="52"/>
  <c r="G112" i="52"/>
  <c r="J111" i="52"/>
  <c r="J108" i="50"/>
  <c r="G109" i="50"/>
  <c r="D110" i="50"/>
  <c r="E110" i="50"/>
  <c r="J113" i="41"/>
  <c r="J119" i="24"/>
  <c r="J121" i="25"/>
  <c r="F112" i="46"/>
  <c r="H112" i="46" s="1"/>
  <c r="B112" i="46"/>
  <c r="J114" i="37"/>
  <c r="F117" i="30"/>
  <c r="H117" i="30" s="1"/>
  <c r="B117" i="30"/>
  <c r="F114" i="38"/>
  <c r="B114" i="38"/>
  <c r="F115" i="37"/>
  <c r="H115" i="37" s="1"/>
  <c r="B115" i="37"/>
  <c r="F123" i="4"/>
  <c r="H123" i="4" s="1"/>
  <c r="B123" i="4"/>
  <c r="B118" i="29"/>
  <c r="F118" i="29"/>
  <c r="B126" i="7"/>
  <c r="F126" i="7"/>
  <c r="B113" i="43"/>
  <c r="F113" i="43"/>
  <c r="H113" i="43" s="1"/>
  <c r="B124" i="6"/>
  <c r="F124" i="6"/>
  <c r="H124" i="6" s="1"/>
  <c r="B122" i="22"/>
  <c r="F122" i="22"/>
  <c r="H122" i="22" s="1"/>
  <c r="B113" i="42"/>
  <c r="F113" i="42"/>
  <c r="H113" i="42" s="1"/>
  <c r="F118" i="31"/>
  <c r="H118" i="31" s="1"/>
  <c r="B118" i="31"/>
  <c r="F124" i="8"/>
  <c r="H124" i="8" s="1"/>
  <c r="B124" i="8"/>
  <c r="J122" i="3"/>
  <c r="B114" i="41"/>
  <c r="F114" i="41"/>
  <c r="B125" i="9"/>
  <c r="F125" i="9"/>
  <c r="H125" i="9" s="1"/>
  <c r="J124" i="9"/>
  <c r="J112" i="44"/>
  <c r="B114" i="40"/>
  <c r="F114" i="40"/>
  <c r="F125" i="11"/>
  <c r="H125" i="11" s="1"/>
  <c r="B125" i="11"/>
  <c r="B123" i="3"/>
  <c r="F123" i="3"/>
  <c r="H123" i="3" s="1"/>
  <c r="B119" i="27"/>
  <c r="F119" i="27"/>
  <c r="H119" i="27" s="1"/>
  <c r="B120" i="24"/>
  <c r="F120" i="24"/>
  <c r="H120" i="24" s="1"/>
  <c r="B122" i="25"/>
  <c r="F122" i="25"/>
  <c r="H122" i="25" s="1"/>
  <c r="F118" i="28"/>
  <c r="H118" i="28" s="1"/>
  <c r="B118" i="28"/>
  <c r="D126" i="10"/>
  <c r="G125" i="10"/>
  <c r="I125" i="10" s="1"/>
  <c r="J125" i="10" s="1"/>
  <c r="E126" i="10"/>
  <c r="F121" i="23"/>
  <c r="B121" i="23"/>
  <c r="B113" i="45"/>
  <c r="F113" i="45"/>
  <c r="H113" i="45" s="1"/>
  <c r="B123" i="5"/>
  <c r="F123" i="5"/>
  <c r="H123" i="5" s="1"/>
  <c r="B113" i="44"/>
  <c r="F113" i="44"/>
  <c r="H113" i="44" s="1"/>
  <c r="B115" i="39"/>
  <c r="F115" i="39"/>
  <c r="H115" i="39" s="1"/>
  <c r="J118" i="27"/>
  <c r="J109" i="51" l="1"/>
  <c r="J109" i="57"/>
  <c r="G110" i="51"/>
  <c r="D111" i="51"/>
  <c r="E111" i="51"/>
  <c r="I112" i="52"/>
  <c r="H112" i="52"/>
  <c r="E113" i="52"/>
  <c r="F113" i="52" s="1"/>
  <c r="B113" i="52"/>
  <c r="G110" i="57"/>
  <c r="D111" i="57"/>
  <c r="E111" i="57"/>
  <c r="F110" i="50"/>
  <c r="B110" i="50"/>
  <c r="H109" i="50"/>
  <c r="I109" i="50"/>
  <c r="D123" i="25"/>
  <c r="G122" i="25"/>
  <c r="I122" i="25" s="1"/>
  <c r="J122" i="25" s="1"/>
  <c r="E123" i="25"/>
  <c r="G123" i="5"/>
  <c r="I123" i="5" s="1"/>
  <c r="J123" i="5" s="1"/>
  <c r="D124" i="5"/>
  <c r="E124" i="5"/>
  <c r="G123" i="3"/>
  <c r="I123" i="3" s="1"/>
  <c r="J123" i="3" s="1"/>
  <c r="D124" i="3"/>
  <c r="E124" i="3"/>
  <c r="D114" i="43"/>
  <c r="G113" i="43"/>
  <c r="I113" i="43" s="1"/>
  <c r="J113" i="43" s="1"/>
  <c r="E114" i="43"/>
  <c r="D124" i="4"/>
  <c r="G123" i="4"/>
  <c r="I123" i="4" s="1"/>
  <c r="J123" i="4" s="1"/>
  <c r="E124" i="4"/>
  <c r="G114" i="38"/>
  <c r="I114" i="38" s="1"/>
  <c r="D115" i="38"/>
  <c r="E115" i="38"/>
  <c r="G117" i="30"/>
  <c r="I117" i="30" s="1"/>
  <c r="J117" i="30" s="1"/>
  <c r="D118" i="30"/>
  <c r="E118" i="30"/>
  <c r="D115" i="40"/>
  <c r="G114" i="40"/>
  <c r="I114" i="40" s="1"/>
  <c r="E115" i="40"/>
  <c r="G115" i="39"/>
  <c r="I115" i="39" s="1"/>
  <c r="J115" i="39" s="1"/>
  <c r="D116" i="39"/>
  <c r="E116" i="39"/>
  <c r="F126" i="10"/>
  <c r="B126" i="10"/>
  <c r="D121" i="24"/>
  <c r="G120" i="24"/>
  <c r="I120" i="24" s="1"/>
  <c r="J120" i="24" s="1"/>
  <c r="E121" i="24"/>
  <c r="G124" i="8"/>
  <c r="I124" i="8" s="1"/>
  <c r="J124" i="8" s="1"/>
  <c r="D125" i="8"/>
  <c r="E125" i="8"/>
  <c r="D123" i="22"/>
  <c r="G122" i="22"/>
  <c r="I122" i="22" s="1"/>
  <c r="J122" i="22" s="1"/>
  <c r="E123" i="22"/>
  <c r="H126" i="7"/>
  <c r="G126" i="7"/>
  <c r="I126" i="7" s="1"/>
  <c r="D127" i="7"/>
  <c r="E127" i="7"/>
  <c r="G113" i="45"/>
  <c r="I113" i="45" s="1"/>
  <c r="J113" i="45" s="1"/>
  <c r="D114" i="45"/>
  <c r="E114" i="45"/>
  <c r="D126" i="9"/>
  <c r="G125" i="9"/>
  <c r="I125" i="9" s="1"/>
  <c r="J125" i="9" s="1"/>
  <c r="E126" i="9"/>
  <c r="G115" i="37"/>
  <c r="I115" i="37" s="1"/>
  <c r="J115" i="37" s="1"/>
  <c r="D116" i="37"/>
  <c r="E116" i="37"/>
  <c r="G113" i="42"/>
  <c r="I113" i="42" s="1"/>
  <c r="J113" i="42" s="1"/>
  <c r="D114" i="42"/>
  <c r="E114" i="42"/>
  <c r="D126" i="11"/>
  <c r="G125" i="11"/>
  <c r="I125" i="11" s="1"/>
  <c r="J125" i="11" s="1"/>
  <c r="E126" i="11"/>
  <c r="H118" i="29"/>
  <c r="D119" i="29"/>
  <c r="G118" i="29"/>
  <c r="I118" i="29" s="1"/>
  <c r="E119" i="29"/>
  <c r="H114" i="38"/>
  <c r="G121" i="23"/>
  <c r="I121" i="23" s="1"/>
  <c r="D122" i="23"/>
  <c r="E122" i="23"/>
  <c r="G113" i="44"/>
  <c r="I113" i="44" s="1"/>
  <c r="J113" i="44" s="1"/>
  <c r="D114" i="44"/>
  <c r="E114" i="44"/>
  <c r="H121" i="23"/>
  <c r="G118" i="28"/>
  <c r="I118" i="28" s="1"/>
  <c r="J118" i="28" s="1"/>
  <c r="D119" i="28"/>
  <c r="E119" i="28"/>
  <c r="D120" i="27"/>
  <c r="G119" i="27"/>
  <c r="I119" i="27" s="1"/>
  <c r="J119" i="27" s="1"/>
  <c r="E120" i="27"/>
  <c r="H114" i="40"/>
  <c r="H114" i="41"/>
  <c r="G114" i="41"/>
  <c r="I114" i="41" s="1"/>
  <c r="D115" i="41"/>
  <c r="E115" i="41"/>
  <c r="G118" i="31"/>
  <c r="I118" i="31" s="1"/>
  <c r="J118" i="31" s="1"/>
  <c r="D119" i="31"/>
  <c r="E119" i="31"/>
  <c r="D125" i="6"/>
  <c r="G124" i="6"/>
  <c r="I124" i="6" s="1"/>
  <c r="J124" i="6" s="1"/>
  <c r="E125" i="6"/>
  <c r="D113" i="46"/>
  <c r="G112" i="46"/>
  <c r="I112" i="46" s="1"/>
  <c r="J112" i="46" s="1"/>
  <c r="E113" i="46"/>
  <c r="F111" i="51" l="1"/>
  <c r="B111" i="51"/>
  <c r="I110" i="51"/>
  <c r="H110" i="51"/>
  <c r="H110" i="57"/>
  <c r="I110" i="57"/>
  <c r="G113" i="52"/>
  <c r="D114" i="52"/>
  <c r="B114" i="52" s="1"/>
  <c r="E114" i="52"/>
  <c r="B111" i="57"/>
  <c r="F111" i="57"/>
  <c r="J112" i="52"/>
  <c r="J109" i="50"/>
  <c r="D111" i="50"/>
  <c r="G110" i="50"/>
  <c r="E111" i="50"/>
  <c r="J118" i="29"/>
  <c r="J126" i="7"/>
  <c r="J114" i="38"/>
  <c r="F124" i="3"/>
  <c r="H124" i="3" s="1"/>
  <c r="B124" i="3"/>
  <c r="F119" i="28"/>
  <c r="H119" i="28" s="1"/>
  <c r="B119" i="28"/>
  <c r="J121" i="23"/>
  <c r="F126" i="11"/>
  <c r="B126" i="11"/>
  <c r="J114" i="40"/>
  <c r="F113" i="46"/>
  <c r="H113" i="46" s="1"/>
  <c r="B113" i="46"/>
  <c r="F115" i="41"/>
  <c r="B115" i="41"/>
  <c r="J114" i="41"/>
  <c r="F126" i="9"/>
  <c r="H126" i="9" s="1"/>
  <c r="B126" i="9"/>
  <c r="F121" i="24"/>
  <c r="B121" i="24"/>
  <c r="F115" i="40"/>
  <c r="B115" i="40"/>
  <c r="B114" i="42"/>
  <c r="F114" i="42"/>
  <c r="B124" i="4"/>
  <c r="F124" i="4"/>
  <c r="H124" i="4" s="1"/>
  <c r="B124" i="5"/>
  <c r="F124" i="5"/>
  <c r="H124" i="5" s="1"/>
  <c r="F122" i="23"/>
  <c r="H122" i="23" s="1"/>
  <c r="B122" i="23"/>
  <c r="B125" i="6"/>
  <c r="F125" i="6"/>
  <c r="H125" i="6" s="1"/>
  <c r="F114" i="45"/>
  <c r="H114" i="45" s="1"/>
  <c r="B114" i="45"/>
  <c r="B123" i="22"/>
  <c r="F123" i="22"/>
  <c r="H123" i="22" s="1"/>
  <c r="H126" i="10"/>
  <c r="D127" i="10"/>
  <c r="G126" i="10"/>
  <c r="I126" i="10" s="1"/>
  <c r="E127" i="10"/>
  <c r="B118" i="30"/>
  <c r="F118" i="30"/>
  <c r="H118" i="30" s="1"/>
  <c r="B119" i="29"/>
  <c r="F119" i="29"/>
  <c r="H119" i="29" s="1"/>
  <c r="B119" i="31"/>
  <c r="F119" i="31"/>
  <c r="H119" i="31" s="1"/>
  <c r="B116" i="37"/>
  <c r="F116" i="37"/>
  <c r="B125" i="8"/>
  <c r="F125" i="8"/>
  <c r="B116" i="39"/>
  <c r="F116" i="39"/>
  <c r="H116" i="39" s="1"/>
  <c r="F114" i="43"/>
  <c r="H114" i="43" s="1"/>
  <c r="B114" i="43"/>
  <c r="B114" i="44"/>
  <c r="F114" i="44"/>
  <c r="B120" i="27"/>
  <c r="F120" i="27"/>
  <c r="H120" i="27" s="1"/>
  <c r="F127" i="7"/>
  <c r="H127" i="7" s="1"/>
  <c r="B127" i="7"/>
  <c r="B115" i="38"/>
  <c r="F115" i="38"/>
  <c r="H115" i="38" s="1"/>
  <c r="F123" i="25"/>
  <c r="B123" i="25"/>
  <c r="J110" i="57" l="1"/>
  <c r="J110" i="51"/>
  <c r="D112" i="51"/>
  <c r="E112" i="51"/>
  <c r="G111" i="51"/>
  <c r="F114" i="52"/>
  <c r="E115" i="52" s="1"/>
  <c r="I113" i="52"/>
  <c r="H113" i="52"/>
  <c r="D112" i="57"/>
  <c r="G111" i="57"/>
  <c r="E112" i="57"/>
  <c r="H110" i="50"/>
  <c r="I110" i="50"/>
  <c r="F111" i="50"/>
  <c r="B111" i="50"/>
  <c r="G125" i="8"/>
  <c r="I125" i="8" s="1"/>
  <c r="D126" i="8"/>
  <c r="E126" i="8"/>
  <c r="D116" i="40"/>
  <c r="G115" i="40"/>
  <c r="I115" i="40" s="1"/>
  <c r="E116" i="40"/>
  <c r="D125" i="4"/>
  <c r="G124" i="4"/>
  <c r="I124" i="4" s="1"/>
  <c r="J124" i="4" s="1"/>
  <c r="E125" i="4"/>
  <c r="H121" i="24"/>
  <c r="D122" i="24"/>
  <c r="G121" i="24"/>
  <c r="I121" i="24" s="1"/>
  <c r="E122" i="24"/>
  <c r="G116" i="37"/>
  <c r="I116" i="37" s="1"/>
  <c r="D117" i="37"/>
  <c r="E117" i="37"/>
  <c r="D124" i="22"/>
  <c r="G123" i="22"/>
  <c r="I123" i="22" s="1"/>
  <c r="J123" i="22" s="1"/>
  <c r="E124" i="22"/>
  <c r="G126" i="11"/>
  <c r="I126" i="11" s="1"/>
  <c r="D127" i="11"/>
  <c r="E127" i="11"/>
  <c r="D115" i="43"/>
  <c r="G114" i="43"/>
  <c r="I114" i="43" s="1"/>
  <c r="J114" i="43" s="1"/>
  <c r="E115" i="43"/>
  <c r="G118" i="30"/>
  <c r="I118" i="30" s="1"/>
  <c r="J118" i="30" s="1"/>
  <c r="D119" i="30"/>
  <c r="E119" i="30"/>
  <c r="H114" i="42"/>
  <c r="D115" i="42"/>
  <c r="G114" i="42"/>
  <c r="I114" i="42" s="1"/>
  <c r="E115" i="42"/>
  <c r="G113" i="46"/>
  <c r="I113" i="46" s="1"/>
  <c r="J113" i="46" s="1"/>
  <c r="D114" i="46"/>
  <c r="E114" i="46"/>
  <c r="D120" i="28"/>
  <c r="G119" i="28"/>
  <c r="I119" i="28" s="1"/>
  <c r="J119" i="28" s="1"/>
  <c r="E120" i="28"/>
  <c r="D120" i="29"/>
  <c r="G119" i="29"/>
  <c r="I119" i="29" s="1"/>
  <c r="J119" i="29" s="1"/>
  <c r="E120" i="29"/>
  <c r="H116" i="37"/>
  <c r="G127" i="7"/>
  <c r="I127" i="7" s="1"/>
  <c r="J127" i="7" s="1"/>
  <c r="D128" i="7"/>
  <c r="E128" i="7"/>
  <c r="H123" i="25"/>
  <c r="G123" i="25"/>
  <c r="I123" i="25" s="1"/>
  <c r="D124" i="25"/>
  <c r="E124" i="25"/>
  <c r="D121" i="27"/>
  <c r="G120" i="27"/>
  <c r="I120" i="27" s="1"/>
  <c r="J120" i="27" s="1"/>
  <c r="E121" i="27"/>
  <c r="D117" i="39"/>
  <c r="G116" i="39"/>
  <c r="I116" i="39" s="1"/>
  <c r="J116" i="39" s="1"/>
  <c r="E117" i="39"/>
  <c r="D123" i="23"/>
  <c r="G122" i="23"/>
  <c r="I122" i="23" s="1"/>
  <c r="J122" i="23" s="1"/>
  <c r="E123" i="23"/>
  <c r="G126" i="9"/>
  <c r="I126" i="9" s="1"/>
  <c r="J126" i="9" s="1"/>
  <c r="D127" i="9"/>
  <c r="E127" i="9"/>
  <c r="B127" i="10"/>
  <c r="F127" i="10"/>
  <c r="H127" i="10" s="1"/>
  <c r="G119" i="31"/>
  <c r="I119" i="31" s="1"/>
  <c r="J119" i="31" s="1"/>
  <c r="D120" i="31"/>
  <c r="E120" i="31"/>
  <c r="H115" i="40"/>
  <c r="H126" i="11"/>
  <c r="D126" i="6"/>
  <c r="G125" i="6"/>
  <c r="I125" i="6" s="1"/>
  <c r="J125" i="6" s="1"/>
  <c r="E126" i="6"/>
  <c r="G115" i="41"/>
  <c r="I115" i="41" s="1"/>
  <c r="D116" i="41"/>
  <c r="E116" i="41"/>
  <c r="G115" i="38"/>
  <c r="I115" i="38" s="1"/>
  <c r="J115" i="38" s="1"/>
  <c r="D116" i="38"/>
  <c r="E116" i="38"/>
  <c r="H114" i="44"/>
  <c r="G114" i="44"/>
  <c r="I114" i="44" s="1"/>
  <c r="D115" i="44"/>
  <c r="E115" i="44"/>
  <c r="H125" i="8"/>
  <c r="J126" i="10"/>
  <c r="G114" i="45"/>
  <c r="I114" i="45" s="1"/>
  <c r="J114" i="45" s="1"/>
  <c r="D115" i="45"/>
  <c r="E115" i="45"/>
  <c r="D125" i="5"/>
  <c r="G124" i="5"/>
  <c r="I124" i="5" s="1"/>
  <c r="J124" i="5" s="1"/>
  <c r="E125" i="5"/>
  <c r="H115" i="41"/>
  <c r="G124" i="3"/>
  <c r="I124" i="3" s="1"/>
  <c r="J124" i="3" s="1"/>
  <c r="D125" i="3"/>
  <c r="E125" i="3" s="1"/>
  <c r="D115" i="52" l="1"/>
  <c r="B115" i="52" s="1"/>
  <c r="G114" i="52"/>
  <c r="H111" i="51"/>
  <c r="I111" i="51"/>
  <c r="B112" i="51"/>
  <c r="F112" i="51"/>
  <c r="F115" i="52"/>
  <c r="D116" i="52" s="1"/>
  <c r="B116" i="52" s="1"/>
  <c r="J113" i="52"/>
  <c r="F112" i="57"/>
  <c r="B112" i="57"/>
  <c r="H111" i="57"/>
  <c r="I111" i="57"/>
  <c r="I114" i="52"/>
  <c r="H114" i="52"/>
  <c r="J110" i="50"/>
  <c r="G111" i="50"/>
  <c r="D112" i="50"/>
  <c r="J114" i="44"/>
  <c r="J123" i="25"/>
  <c r="J114" i="42"/>
  <c r="J115" i="40"/>
  <c r="F115" i="45"/>
  <c r="H115" i="45" s="1"/>
  <c r="B115" i="45"/>
  <c r="F126" i="6"/>
  <c r="H126" i="6" s="1"/>
  <c r="B126" i="6"/>
  <c r="F115" i="42"/>
  <c r="B115" i="42"/>
  <c r="J116" i="37"/>
  <c r="F123" i="23"/>
  <c r="H123" i="23" s="1"/>
  <c r="B123" i="23"/>
  <c r="G127" i="10"/>
  <c r="I127" i="10" s="1"/>
  <c r="J127" i="10" s="1"/>
  <c r="D128" i="10"/>
  <c r="E128" i="10"/>
  <c r="B120" i="29"/>
  <c r="F120" i="29"/>
  <c r="H120" i="29" s="1"/>
  <c r="F117" i="37"/>
  <c r="B117" i="37"/>
  <c r="B117" i="39"/>
  <c r="F117" i="39"/>
  <c r="H117" i="39" s="1"/>
  <c r="F127" i="11"/>
  <c r="H127" i="11" s="1"/>
  <c r="B127" i="11"/>
  <c r="F125" i="5"/>
  <c r="H125" i="5" s="1"/>
  <c r="B125" i="5"/>
  <c r="B125" i="3"/>
  <c r="F125" i="3"/>
  <c r="B116" i="38"/>
  <c r="F116" i="38"/>
  <c r="F127" i="9"/>
  <c r="B127" i="9"/>
  <c r="B128" i="7"/>
  <c r="F128" i="7"/>
  <c r="H128" i="7" s="1"/>
  <c r="F120" i="28"/>
  <c r="H120" i="28" s="1"/>
  <c r="B120" i="28"/>
  <c r="J126" i="11"/>
  <c r="J121" i="24"/>
  <c r="B116" i="40"/>
  <c r="F116" i="40"/>
  <c r="H116" i="40" s="1"/>
  <c r="B119" i="30"/>
  <c r="F119" i="30"/>
  <c r="H119" i="30" s="1"/>
  <c r="F122" i="24"/>
  <c r="H122" i="24" s="1"/>
  <c r="B122" i="24"/>
  <c r="F125" i="4"/>
  <c r="B125" i="4"/>
  <c r="B116" i="41"/>
  <c r="F116" i="41"/>
  <c r="H116" i="41" s="1"/>
  <c r="B121" i="27"/>
  <c r="F121" i="27"/>
  <c r="H121" i="27" s="1"/>
  <c r="B114" i="46"/>
  <c r="F114" i="46"/>
  <c r="H114" i="46" s="1"/>
  <c r="F126" i="8"/>
  <c r="H126" i="8" s="1"/>
  <c r="B126" i="8"/>
  <c r="F124" i="25"/>
  <c r="H124" i="25" s="1"/>
  <c r="B124" i="25"/>
  <c r="B115" i="43"/>
  <c r="F115" i="43"/>
  <c r="H115" i="43" s="1"/>
  <c r="B120" i="31"/>
  <c r="F120" i="31"/>
  <c r="H120" i="31" s="1"/>
  <c r="F115" i="44"/>
  <c r="B115" i="44"/>
  <c r="J115" i="41"/>
  <c r="F124" i="22"/>
  <c r="H124" i="22" s="1"/>
  <c r="B124" i="22"/>
  <c r="J125" i="8"/>
  <c r="J111" i="51" l="1"/>
  <c r="E116" i="52"/>
  <c r="G115" i="52"/>
  <c r="I115" i="52" s="1"/>
  <c r="D113" i="51"/>
  <c r="G112" i="51"/>
  <c r="E113" i="51"/>
  <c r="J111" i="57"/>
  <c r="F116" i="52"/>
  <c r="G116" i="52" s="1"/>
  <c r="J114" i="52"/>
  <c r="D113" i="57"/>
  <c r="G112" i="57"/>
  <c r="E113" i="57"/>
  <c r="E112" i="50"/>
  <c r="F112" i="50" s="1"/>
  <c r="B112" i="50"/>
  <c r="H111" i="50"/>
  <c r="I111" i="50"/>
  <c r="D117" i="40"/>
  <c r="G116" i="40"/>
  <c r="I116" i="40" s="1"/>
  <c r="J116" i="40" s="1"/>
  <c r="E117" i="40"/>
  <c r="D125" i="25"/>
  <c r="G124" i="25"/>
  <c r="I124" i="25" s="1"/>
  <c r="J124" i="25" s="1"/>
  <c r="E125" i="25"/>
  <c r="G121" i="27"/>
  <c r="I121" i="27" s="1"/>
  <c r="J121" i="27" s="1"/>
  <c r="D122" i="27"/>
  <c r="E122" i="27"/>
  <c r="G117" i="39"/>
  <c r="I117" i="39" s="1"/>
  <c r="J117" i="39" s="1"/>
  <c r="D118" i="39"/>
  <c r="E118" i="39"/>
  <c r="G128" i="7"/>
  <c r="I128" i="7" s="1"/>
  <c r="J128" i="7" s="1"/>
  <c r="D129" i="7"/>
  <c r="E129" i="7"/>
  <c r="D123" i="24"/>
  <c r="G122" i="24"/>
  <c r="I122" i="24" s="1"/>
  <c r="J122" i="24" s="1"/>
  <c r="E123" i="24"/>
  <c r="H127" i="9"/>
  <c r="G127" i="9"/>
  <c r="I127" i="9" s="1"/>
  <c r="D128" i="9"/>
  <c r="E128" i="9"/>
  <c r="D126" i="5"/>
  <c r="G125" i="5"/>
  <c r="I125" i="5" s="1"/>
  <c r="J125" i="5" s="1"/>
  <c r="E126" i="5"/>
  <c r="H117" i="37"/>
  <c r="G117" i="37"/>
  <c r="I117" i="37" s="1"/>
  <c r="D118" i="37"/>
  <c r="E118" i="37"/>
  <c r="G126" i="6"/>
  <c r="I126" i="6" s="1"/>
  <c r="J126" i="6" s="1"/>
  <c r="D127" i="6"/>
  <c r="E127" i="6"/>
  <c r="B128" i="10"/>
  <c r="F128" i="10"/>
  <c r="H128" i="10" s="1"/>
  <c r="D117" i="41"/>
  <c r="G116" i="41"/>
  <c r="I116" i="41" s="1"/>
  <c r="J116" i="41" s="1"/>
  <c r="E117" i="41"/>
  <c r="H116" i="38"/>
  <c r="D117" i="38"/>
  <c r="G116" i="38"/>
  <c r="I116" i="38" s="1"/>
  <c r="E117" i="38"/>
  <c r="G123" i="23"/>
  <c r="I123" i="23" s="1"/>
  <c r="J123" i="23" s="1"/>
  <c r="D124" i="23"/>
  <c r="E124" i="23"/>
  <c r="G125" i="3"/>
  <c r="I125" i="3" s="1"/>
  <c r="D126" i="3"/>
  <c r="E126" i="3"/>
  <c r="D116" i="44"/>
  <c r="G115" i="44"/>
  <c r="I115" i="44" s="1"/>
  <c r="E116" i="44"/>
  <c r="G125" i="4"/>
  <c r="I125" i="4" s="1"/>
  <c r="D126" i="4"/>
  <c r="E126" i="4"/>
  <c r="D116" i="42"/>
  <c r="G115" i="42"/>
  <c r="I115" i="42" s="1"/>
  <c r="E116" i="42"/>
  <c r="D121" i="31"/>
  <c r="G120" i="31"/>
  <c r="I120" i="31" s="1"/>
  <c r="J120" i="31" s="1"/>
  <c r="E121" i="31"/>
  <c r="D125" i="22"/>
  <c r="G124" i="22"/>
  <c r="I124" i="22" s="1"/>
  <c r="J124" i="22" s="1"/>
  <c r="E125" i="22"/>
  <c r="G115" i="43"/>
  <c r="I115" i="43" s="1"/>
  <c r="J115" i="43" s="1"/>
  <c r="D116" i="43"/>
  <c r="E116" i="43"/>
  <c r="G119" i="30"/>
  <c r="I119" i="30" s="1"/>
  <c r="J119" i="30" s="1"/>
  <c r="D120" i="30"/>
  <c r="E120" i="30"/>
  <c r="G120" i="29"/>
  <c r="I120" i="29" s="1"/>
  <c r="J120" i="29" s="1"/>
  <c r="D121" i="29"/>
  <c r="E121" i="29"/>
  <c r="G126" i="8"/>
  <c r="I126" i="8" s="1"/>
  <c r="J126" i="8" s="1"/>
  <c r="D127" i="8"/>
  <c r="E127" i="8"/>
  <c r="H115" i="44"/>
  <c r="D115" i="46"/>
  <c r="G114" i="46"/>
  <c r="I114" i="46" s="1"/>
  <c r="J114" i="46" s="1"/>
  <c r="E115" i="46"/>
  <c r="H125" i="4"/>
  <c r="D121" i="28"/>
  <c r="G120" i="28"/>
  <c r="I120" i="28" s="1"/>
  <c r="J120" i="28" s="1"/>
  <c r="E121" i="28"/>
  <c r="H125" i="3"/>
  <c r="D128" i="11"/>
  <c r="G127" i="11"/>
  <c r="I127" i="11" s="1"/>
  <c r="J127" i="11" s="1"/>
  <c r="E128" i="11"/>
  <c r="H115" i="42"/>
  <c r="G115" i="45"/>
  <c r="I115" i="45" s="1"/>
  <c r="J115" i="45" s="1"/>
  <c r="D116" i="45"/>
  <c r="E116" i="45"/>
  <c r="H115" i="52" l="1"/>
  <c r="D117" i="52"/>
  <c r="B117" i="52" s="1"/>
  <c r="I112" i="51"/>
  <c r="H112" i="51"/>
  <c r="B113" i="51"/>
  <c r="F113" i="51"/>
  <c r="J115" i="52"/>
  <c r="H116" i="52"/>
  <c r="I116" i="52"/>
  <c r="E117" i="52"/>
  <c r="F117" i="52" s="1"/>
  <c r="H112" i="57"/>
  <c r="I112" i="57"/>
  <c r="B113" i="57"/>
  <c r="F113" i="57"/>
  <c r="J111" i="50"/>
  <c r="D113" i="50"/>
  <c r="G112" i="50"/>
  <c r="E113" i="50"/>
  <c r="J127" i="9"/>
  <c r="J125" i="3"/>
  <c r="J117" i="37"/>
  <c r="J115" i="42"/>
  <c r="F117" i="38"/>
  <c r="B117" i="38"/>
  <c r="F123" i="24"/>
  <c r="H123" i="24" s="1"/>
  <c r="B123" i="24"/>
  <c r="B122" i="27"/>
  <c r="F122" i="27"/>
  <c r="B127" i="6"/>
  <c r="F127" i="6"/>
  <c r="H127" i="6" s="1"/>
  <c r="B128" i="11"/>
  <c r="F128" i="11"/>
  <c r="H128" i="11" s="1"/>
  <c r="F115" i="46"/>
  <c r="B115" i="46"/>
  <c r="B125" i="22"/>
  <c r="F125" i="22"/>
  <c r="H125" i="22" s="1"/>
  <c r="B126" i="4"/>
  <c r="F126" i="4"/>
  <c r="H126" i="4" s="1"/>
  <c r="B128" i="9"/>
  <c r="F128" i="9"/>
  <c r="H128" i="9" s="1"/>
  <c r="B126" i="5"/>
  <c r="F126" i="5"/>
  <c r="H126" i="5" s="1"/>
  <c r="B129" i="7"/>
  <c r="F129" i="7"/>
  <c r="F120" i="30"/>
  <c r="H120" i="30" s="1"/>
  <c r="B120" i="30"/>
  <c r="J125" i="4"/>
  <c r="F124" i="23"/>
  <c r="H124" i="23" s="1"/>
  <c r="B124" i="23"/>
  <c r="B117" i="41"/>
  <c r="F117" i="41"/>
  <c r="H117" i="41" s="1"/>
  <c r="B118" i="37"/>
  <c r="F118" i="37"/>
  <c r="F125" i="25"/>
  <c r="H125" i="25" s="1"/>
  <c r="B125" i="25"/>
  <c r="F126" i="3"/>
  <c r="H126" i="3" s="1"/>
  <c r="B126" i="3"/>
  <c r="F118" i="39"/>
  <c r="H118" i="39" s="1"/>
  <c r="B118" i="39"/>
  <c r="F121" i="29"/>
  <c r="B121" i="29"/>
  <c r="B116" i="42"/>
  <c r="F116" i="42"/>
  <c r="B116" i="45"/>
  <c r="F116" i="45"/>
  <c r="B127" i="8"/>
  <c r="F127" i="8"/>
  <c r="H127" i="8" s="1"/>
  <c r="B121" i="31"/>
  <c r="F121" i="31"/>
  <c r="J115" i="44"/>
  <c r="D129" i="10"/>
  <c r="G128" i="10"/>
  <c r="I128" i="10" s="1"/>
  <c r="J128" i="10" s="1"/>
  <c r="E129" i="10"/>
  <c r="B121" i="28"/>
  <c r="F121" i="28"/>
  <c r="H121" i="28" s="1"/>
  <c r="F116" i="43"/>
  <c r="H116" i="43" s="1"/>
  <c r="B116" i="43"/>
  <c r="B116" i="44"/>
  <c r="F116" i="44"/>
  <c r="J116" i="38"/>
  <c r="F117" i="40"/>
  <c r="H117" i="40" s="1"/>
  <c r="B117" i="40"/>
  <c r="J112" i="57" l="1"/>
  <c r="D114" i="51"/>
  <c r="G113" i="51"/>
  <c r="E114" i="51"/>
  <c r="J112" i="51"/>
  <c r="J116" i="52"/>
  <c r="D114" i="57"/>
  <c r="G113" i="57"/>
  <c r="E114" i="57"/>
  <c r="D118" i="52"/>
  <c r="B118" i="52" s="1"/>
  <c r="G117" i="52"/>
  <c r="E118" i="52"/>
  <c r="H112" i="50"/>
  <c r="I112" i="50"/>
  <c r="B113" i="50"/>
  <c r="F113" i="50"/>
  <c r="D122" i="28"/>
  <c r="G121" i="28"/>
  <c r="I121" i="28" s="1"/>
  <c r="J121" i="28" s="1"/>
  <c r="E122" i="28"/>
  <c r="H116" i="44"/>
  <c r="D117" i="44"/>
  <c r="G116" i="44"/>
  <c r="I116" i="44" s="1"/>
  <c r="E117" i="44"/>
  <c r="G127" i="8"/>
  <c r="I127" i="8" s="1"/>
  <c r="J127" i="8" s="1"/>
  <c r="D128" i="8"/>
  <c r="E128" i="8"/>
  <c r="G129" i="7"/>
  <c r="I129" i="7" s="1"/>
  <c r="D130" i="7"/>
  <c r="E130" i="7"/>
  <c r="G115" i="46"/>
  <c r="I115" i="46" s="1"/>
  <c r="D116" i="46"/>
  <c r="E116" i="46"/>
  <c r="G122" i="27"/>
  <c r="I122" i="27" s="1"/>
  <c r="D123" i="27"/>
  <c r="E123" i="27"/>
  <c r="D117" i="42"/>
  <c r="G116" i="42"/>
  <c r="I116" i="42" s="1"/>
  <c r="E117" i="42"/>
  <c r="G121" i="29"/>
  <c r="I121" i="29" s="1"/>
  <c r="D122" i="29"/>
  <c r="E122" i="29"/>
  <c r="B129" i="10"/>
  <c r="F129" i="10"/>
  <c r="H129" i="10" s="1"/>
  <c r="D126" i="25"/>
  <c r="G125" i="25"/>
  <c r="I125" i="25" s="1"/>
  <c r="J125" i="25" s="1"/>
  <c r="E126" i="25"/>
  <c r="H118" i="37"/>
  <c r="D119" i="37"/>
  <c r="G118" i="37"/>
  <c r="I118" i="37" s="1"/>
  <c r="E119" i="37"/>
  <c r="D127" i="5"/>
  <c r="G126" i="5"/>
  <c r="I126" i="5" s="1"/>
  <c r="J126" i="5" s="1"/>
  <c r="E127" i="5"/>
  <c r="G121" i="31"/>
  <c r="I121" i="31" s="1"/>
  <c r="D122" i="31"/>
  <c r="E122" i="31"/>
  <c r="G126" i="4"/>
  <c r="I126" i="4" s="1"/>
  <c r="J126" i="4" s="1"/>
  <c r="D127" i="4"/>
  <c r="E127" i="4"/>
  <c r="H116" i="45"/>
  <c r="G116" i="45"/>
  <c r="I116" i="45" s="1"/>
  <c r="D117" i="45"/>
  <c r="E117" i="45"/>
  <c r="D125" i="23"/>
  <c r="G124" i="23"/>
  <c r="I124" i="23" s="1"/>
  <c r="J124" i="23" s="1"/>
  <c r="E125" i="23"/>
  <c r="D129" i="11"/>
  <c r="G128" i="11"/>
  <c r="I128" i="11" s="1"/>
  <c r="J128" i="11" s="1"/>
  <c r="E129" i="11"/>
  <c r="G116" i="43"/>
  <c r="I116" i="43" s="1"/>
  <c r="J116" i="43" s="1"/>
  <c r="D117" i="43"/>
  <c r="E117" i="43"/>
  <c r="H121" i="31"/>
  <c r="H116" i="42"/>
  <c r="D119" i="39"/>
  <c r="G118" i="39"/>
  <c r="I118" i="39" s="1"/>
  <c r="J118" i="39" s="1"/>
  <c r="E119" i="39"/>
  <c r="G125" i="22"/>
  <c r="I125" i="22" s="1"/>
  <c r="J125" i="22" s="1"/>
  <c r="D126" i="22"/>
  <c r="E126" i="22"/>
  <c r="G123" i="24"/>
  <c r="I123" i="24" s="1"/>
  <c r="J123" i="24" s="1"/>
  <c r="D124" i="24"/>
  <c r="E124" i="24"/>
  <c r="D128" i="6"/>
  <c r="G127" i="6"/>
  <c r="I127" i="6" s="1"/>
  <c r="J127" i="6" s="1"/>
  <c r="E128" i="6"/>
  <c r="G117" i="41"/>
  <c r="I117" i="41" s="1"/>
  <c r="J117" i="41" s="1"/>
  <c r="D118" i="41"/>
  <c r="E118" i="41"/>
  <c r="G120" i="30"/>
  <c r="I120" i="30" s="1"/>
  <c r="J120" i="30" s="1"/>
  <c r="D121" i="30"/>
  <c r="E121" i="30"/>
  <c r="D129" i="9"/>
  <c r="G128" i="9"/>
  <c r="I128" i="9" s="1"/>
  <c r="J128" i="9" s="1"/>
  <c r="E129" i="9"/>
  <c r="H115" i="46"/>
  <c r="H117" i="38"/>
  <c r="D118" i="38"/>
  <c r="G117" i="38"/>
  <c r="I117" i="38" s="1"/>
  <c r="E118" i="38"/>
  <c r="G117" i="40"/>
  <c r="I117" i="40" s="1"/>
  <c r="J117" i="40" s="1"/>
  <c r="D118" i="40"/>
  <c r="E118" i="40"/>
  <c r="H121" i="29"/>
  <c r="G126" i="3"/>
  <c r="I126" i="3" s="1"/>
  <c r="J126" i="3" s="1"/>
  <c r="D127" i="3"/>
  <c r="E127" i="3" s="1"/>
  <c r="H129" i="7"/>
  <c r="H122" i="27"/>
  <c r="H113" i="51" l="1"/>
  <c r="I113" i="51"/>
  <c r="B114" i="51"/>
  <c r="F114" i="51"/>
  <c r="J112" i="50"/>
  <c r="H117" i="52"/>
  <c r="I117" i="52"/>
  <c r="H113" i="57"/>
  <c r="I113" i="57"/>
  <c r="F118" i="52"/>
  <c r="F114" i="57"/>
  <c r="B114" i="57"/>
  <c r="D114" i="50"/>
  <c r="B114" i="50" s="1"/>
  <c r="G113" i="50"/>
  <c r="E114" i="50"/>
  <c r="J116" i="44"/>
  <c r="J121" i="31"/>
  <c r="J116" i="45"/>
  <c r="J121" i="29"/>
  <c r="F129" i="9"/>
  <c r="H129" i="9" s="1"/>
  <c r="B129" i="9"/>
  <c r="J115" i="46"/>
  <c r="B117" i="43"/>
  <c r="F117" i="43"/>
  <c r="H117" i="43" s="1"/>
  <c r="F117" i="45"/>
  <c r="B117" i="45"/>
  <c r="B128" i="6"/>
  <c r="F128" i="6"/>
  <c r="H128" i="6" s="1"/>
  <c r="F126" i="25"/>
  <c r="H126" i="25" s="1"/>
  <c r="B126" i="25"/>
  <c r="J116" i="42"/>
  <c r="F117" i="44"/>
  <c r="H117" i="44" s="1"/>
  <c r="B117" i="44"/>
  <c r="B126" i="22"/>
  <c r="F126" i="22"/>
  <c r="H126" i="22" s="1"/>
  <c r="F116" i="46"/>
  <c r="B116" i="46"/>
  <c r="J117" i="38"/>
  <c r="B121" i="30"/>
  <c r="F121" i="30"/>
  <c r="F119" i="39"/>
  <c r="H119" i="39" s="1"/>
  <c r="B119" i="39"/>
  <c r="F129" i="11"/>
  <c r="H129" i="11" s="1"/>
  <c r="B129" i="11"/>
  <c r="F127" i="5"/>
  <c r="B127" i="5"/>
  <c r="F117" i="42"/>
  <c r="H117" i="42" s="1"/>
  <c r="B117" i="42"/>
  <c r="F130" i="7"/>
  <c r="H130" i="7" s="1"/>
  <c r="B130" i="7"/>
  <c r="F127" i="3"/>
  <c r="H127" i="3" s="1"/>
  <c r="B127" i="3"/>
  <c r="F118" i="38"/>
  <c r="B118" i="38"/>
  <c r="B124" i="24"/>
  <c r="F124" i="24"/>
  <c r="H124" i="24" s="1"/>
  <c r="B127" i="4"/>
  <c r="F127" i="4"/>
  <c r="H127" i="4" s="1"/>
  <c r="D130" i="10"/>
  <c r="G129" i="10"/>
  <c r="I129" i="10" s="1"/>
  <c r="J129" i="10" s="1"/>
  <c r="E130" i="10"/>
  <c r="J129" i="7"/>
  <c r="B122" i="31"/>
  <c r="F122" i="31"/>
  <c r="J118" i="37"/>
  <c r="B123" i="27"/>
  <c r="F123" i="27"/>
  <c r="B122" i="29"/>
  <c r="F122" i="29"/>
  <c r="H122" i="29" s="1"/>
  <c r="B118" i="40"/>
  <c r="F118" i="40"/>
  <c r="F118" i="41"/>
  <c r="B118" i="41"/>
  <c r="B125" i="23"/>
  <c r="F125" i="23"/>
  <c r="F119" i="37"/>
  <c r="B119" i="37"/>
  <c r="J122" i="27"/>
  <c r="B128" i="8"/>
  <c r="F128" i="8"/>
  <c r="H128" i="8" s="1"/>
  <c r="F122" i="28"/>
  <c r="H122" i="28" s="1"/>
  <c r="B122" i="28"/>
  <c r="J113" i="51" l="1"/>
  <c r="J117" i="52"/>
  <c r="G114" i="51"/>
  <c r="D115" i="51"/>
  <c r="E115" i="51"/>
  <c r="D119" i="52"/>
  <c r="G118" i="52"/>
  <c r="E119" i="52"/>
  <c r="J113" i="57"/>
  <c r="G114" i="57"/>
  <c r="D115" i="57"/>
  <c r="E115" i="57"/>
  <c r="F114" i="50"/>
  <c r="G114" i="50" s="1"/>
  <c r="H113" i="50"/>
  <c r="I113" i="50"/>
  <c r="B130" i="10"/>
  <c r="F130" i="10"/>
  <c r="H130" i="10" s="1"/>
  <c r="D117" i="46"/>
  <c r="G116" i="46"/>
  <c r="I116" i="46" s="1"/>
  <c r="E117" i="46"/>
  <c r="D118" i="45"/>
  <c r="G117" i="45"/>
  <c r="I117" i="45" s="1"/>
  <c r="E118" i="45"/>
  <c r="D129" i="8"/>
  <c r="G128" i="8"/>
  <c r="I128" i="8" s="1"/>
  <c r="J128" i="8" s="1"/>
  <c r="E129" i="8"/>
  <c r="H118" i="41"/>
  <c r="D119" i="41"/>
  <c r="G118" i="41"/>
  <c r="I118" i="41" s="1"/>
  <c r="E119" i="41"/>
  <c r="D119" i="38"/>
  <c r="G118" i="38"/>
  <c r="I118" i="38" s="1"/>
  <c r="E119" i="38"/>
  <c r="H118" i="40"/>
  <c r="D119" i="40"/>
  <c r="G118" i="40"/>
  <c r="I118" i="40" s="1"/>
  <c r="E119" i="40"/>
  <c r="D128" i="4"/>
  <c r="G127" i="4"/>
  <c r="I127" i="4" s="1"/>
  <c r="J127" i="4" s="1"/>
  <c r="E128" i="4"/>
  <c r="D118" i="42"/>
  <c r="G117" i="42"/>
  <c r="I117" i="42" s="1"/>
  <c r="J117" i="42" s="1"/>
  <c r="E118" i="42"/>
  <c r="D120" i="39"/>
  <c r="G119" i="39"/>
  <c r="I119" i="39" s="1"/>
  <c r="J119" i="39" s="1"/>
  <c r="E120" i="39"/>
  <c r="G126" i="22"/>
  <c r="I126" i="22" s="1"/>
  <c r="J126" i="22" s="1"/>
  <c r="D127" i="22"/>
  <c r="E127" i="22"/>
  <c r="D127" i="25"/>
  <c r="G126" i="25"/>
  <c r="I126" i="25" s="1"/>
  <c r="J126" i="25" s="1"/>
  <c r="E127" i="25"/>
  <c r="D118" i="43"/>
  <c r="G117" i="43"/>
  <c r="I117" i="43" s="1"/>
  <c r="J117" i="43" s="1"/>
  <c r="E118" i="43"/>
  <c r="D124" i="27"/>
  <c r="G123" i="27"/>
  <c r="I123" i="27" s="1"/>
  <c r="E124" i="27"/>
  <c r="H121" i="30"/>
  <c r="D122" i="30"/>
  <c r="G121" i="30"/>
  <c r="I121" i="30" s="1"/>
  <c r="E122" i="30"/>
  <c r="D128" i="3"/>
  <c r="E128" i="3" s="1"/>
  <c r="G127" i="3"/>
  <c r="I127" i="3" s="1"/>
  <c r="J127" i="3" s="1"/>
  <c r="H127" i="5"/>
  <c r="G127" i="5"/>
  <c r="I127" i="5" s="1"/>
  <c r="D128" i="5"/>
  <c r="E128" i="5"/>
  <c r="D129" i="6"/>
  <c r="G128" i="6"/>
  <c r="I128" i="6" s="1"/>
  <c r="J128" i="6" s="1"/>
  <c r="E129" i="6"/>
  <c r="H122" i="31"/>
  <c r="D123" i="31"/>
  <c r="G122" i="31"/>
  <c r="I122" i="31" s="1"/>
  <c r="E123" i="31"/>
  <c r="G122" i="29"/>
  <c r="I122" i="29" s="1"/>
  <c r="J122" i="29" s="1"/>
  <c r="D123" i="29"/>
  <c r="E123" i="29"/>
  <c r="D125" i="24"/>
  <c r="G124" i="24"/>
  <c r="I124" i="24" s="1"/>
  <c r="J124" i="24" s="1"/>
  <c r="E125" i="24"/>
  <c r="H125" i="23"/>
  <c r="D126" i="23"/>
  <c r="G125" i="23"/>
  <c r="I125" i="23" s="1"/>
  <c r="E126" i="23"/>
  <c r="H116" i="46"/>
  <c r="G117" i="44"/>
  <c r="I117" i="44" s="1"/>
  <c r="J117" i="44" s="1"/>
  <c r="D118" i="44"/>
  <c r="E118" i="44"/>
  <c r="H117" i="45"/>
  <c r="H119" i="37"/>
  <c r="G119" i="37"/>
  <c r="I119" i="37" s="1"/>
  <c r="D120" i="37"/>
  <c r="E120" i="37"/>
  <c r="G122" i="28"/>
  <c r="I122" i="28" s="1"/>
  <c r="J122" i="28" s="1"/>
  <c r="D123" i="28"/>
  <c r="E123" i="28"/>
  <c r="H123" i="27"/>
  <c r="H118" i="38"/>
  <c r="G130" i="7"/>
  <c r="I130" i="7" s="1"/>
  <c r="J130" i="7" s="1"/>
  <c r="D131" i="7"/>
  <c r="E131" i="7"/>
  <c r="D130" i="11"/>
  <c r="G129" i="11"/>
  <c r="I129" i="11" s="1"/>
  <c r="J129" i="11" s="1"/>
  <c r="E130" i="11"/>
  <c r="G129" i="9"/>
  <c r="I129" i="9" s="1"/>
  <c r="J129" i="9" s="1"/>
  <c r="D130" i="9"/>
  <c r="E130" i="9"/>
  <c r="B115" i="51" l="1"/>
  <c r="F115" i="51"/>
  <c r="I114" i="51"/>
  <c r="H114" i="51"/>
  <c r="H114" i="57"/>
  <c r="I114" i="57"/>
  <c r="H118" i="52"/>
  <c r="I118" i="52"/>
  <c r="B115" i="57"/>
  <c r="F115" i="57"/>
  <c r="B119" i="52"/>
  <c r="F119" i="52"/>
  <c r="D115" i="50"/>
  <c r="B115" i="50" s="1"/>
  <c r="J113" i="50"/>
  <c r="H114" i="50"/>
  <c r="I114" i="50"/>
  <c r="E115" i="50"/>
  <c r="J119" i="37"/>
  <c r="J121" i="30"/>
  <c r="J118" i="41"/>
  <c r="J122" i="31"/>
  <c r="J127" i="5"/>
  <c r="F129" i="6"/>
  <c r="H129" i="6" s="1"/>
  <c r="B129" i="6"/>
  <c r="B118" i="45"/>
  <c r="F118" i="45"/>
  <c r="H118" i="45" s="1"/>
  <c r="B130" i="9"/>
  <c r="F130" i="9"/>
  <c r="B126" i="23"/>
  <c r="F126" i="23"/>
  <c r="H126" i="23" s="1"/>
  <c r="F128" i="5"/>
  <c r="B128" i="5"/>
  <c r="B122" i="30"/>
  <c r="F122" i="30"/>
  <c r="F120" i="39"/>
  <c r="H120" i="39" s="1"/>
  <c r="B120" i="39"/>
  <c r="J118" i="40"/>
  <c r="F119" i="41"/>
  <c r="H119" i="41" s="1"/>
  <c r="B119" i="41"/>
  <c r="B119" i="40"/>
  <c r="F119" i="40"/>
  <c r="H119" i="40" s="1"/>
  <c r="J116" i="46"/>
  <c r="B120" i="37"/>
  <c r="F120" i="37"/>
  <c r="H120" i="37" s="1"/>
  <c r="F123" i="29"/>
  <c r="B123" i="29"/>
  <c r="J117" i="45"/>
  <c r="B123" i="31"/>
  <c r="F123" i="31"/>
  <c r="H123" i="31" s="1"/>
  <c r="B127" i="25"/>
  <c r="F127" i="25"/>
  <c r="H127" i="25" s="1"/>
  <c r="F117" i="46"/>
  <c r="B117" i="46"/>
  <c r="F131" i="7"/>
  <c r="H131" i="7" s="1"/>
  <c r="B131" i="7"/>
  <c r="B128" i="4"/>
  <c r="F128" i="4"/>
  <c r="J125" i="23"/>
  <c r="B118" i="43"/>
  <c r="F118" i="43"/>
  <c r="H118" i="43" s="1"/>
  <c r="F123" i="28"/>
  <c r="H123" i="28" s="1"/>
  <c r="B123" i="28"/>
  <c r="F118" i="44"/>
  <c r="B118" i="44"/>
  <c r="J123" i="27"/>
  <c r="B118" i="42"/>
  <c r="F118" i="42"/>
  <c r="H118" i="42" s="1"/>
  <c r="B130" i="11"/>
  <c r="F130" i="11"/>
  <c r="F125" i="24"/>
  <c r="H125" i="24" s="1"/>
  <c r="B125" i="24"/>
  <c r="F124" i="27"/>
  <c r="H124" i="27" s="1"/>
  <c r="B124" i="27"/>
  <c r="B127" i="22"/>
  <c r="F127" i="22"/>
  <c r="H127" i="22" s="1"/>
  <c r="J118" i="38"/>
  <c r="F129" i="8"/>
  <c r="H129" i="8" s="1"/>
  <c r="B129" i="8"/>
  <c r="D131" i="10"/>
  <c r="G130" i="10"/>
  <c r="I130" i="10" s="1"/>
  <c r="J130" i="10" s="1"/>
  <c r="E131" i="10"/>
  <c r="F128" i="3"/>
  <c r="H128" i="3" s="1"/>
  <c r="B128" i="3"/>
  <c r="B119" i="38"/>
  <c r="F119" i="38"/>
  <c r="H119" i="38" s="1"/>
  <c r="J114" i="57" l="1"/>
  <c r="J114" i="51"/>
  <c r="E116" i="51"/>
  <c r="G115" i="51"/>
  <c r="D116" i="51"/>
  <c r="G119" i="52"/>
  <c r="D120" i="52"/>
  <c r="B120" i="52" s="1"/>
  <c r="E120" i="52"/>
  <c r="G115" i="57"/>
  <c r="D116" i="57"/>
  <c r="E116" i="57"/>
  <c r="F115" i="50"/>
  <c r="G115" i="50" s="1"/>
  <c r="J118" i="52"/>
  <c r="J114" i="50"/>
  <c r="D128" i="22"/>
  <c r="G127" i="22"/>
  <c r="I127" i="22" s="1"/>
  <c r="J127" i="22" s="1"/>
  <c r="E128" i="22"/>
  <c r="H130" i="11"/>
  <c r="D131" i="11"/>
  <c r="G130" i="11"/>
  <c r="I130" i="11" s="1"/>
  <c r="E131" i="11"/>
  <c r="G118" i="44"/>
  <c r="I118" i="44" s="1"/>
  <c r="D119" i="44"/>
  <c r="E119" i="44"/>
  <c r="H128" i="4"/>
  <c r="D129" i="4"/>
  <c r="G128" i="4"/>
  <c r="I128" i="4" s="1"/>
  <c r="E129" i="4"/>
  <c r="D128" i="25"/>
  <c r="G127" i="25"/>
  <c r="I127" i="25" s="1"/>
  <c r="J127" i="25" s="1"/>
  <c r="E128" i="25"/>
  <c r="G123" i="29"/>
  <c r="I123" i="29" s="1"/>
  <c r="D124" i="29"/>
  <c r="E124" i="29"/>
  <c r="D123" i="30"/>
  <c r="G122" i="30"/>
  <c r="I122" i="30" s="1"/>
  <c r="E123" i="30"/>
  <c r="G130" i="9"/>
  <c r="I130" i="9" s="1"/>
  <c r="D131" i="9"/>
  <c r="E131" i="9"/>
  <c r="G123" i="31"/>
  <c r="I123" i="31" s="1"/>
  <c r="J123" i="31" s="1"/>
  <c r="D124" i="31"/>
  <c r="E124" i="31"/>
  <c r="H128" i="5"/>
  <c r="D129" i="5"/>
  <c r="G128" i="5"/>
  <c r="I128" i="5" s="1"/>
  <c r="E129" i="5"/>
  <c r="D119" i="45"/>
  <c r="G118" i="45"/>
  <c r="I118" i="45" s="1"/>
  <c r="J118" i="45" s="1"/>
  <c r="E119" i="45"/>
  <c r="D121" i="37"/>
  <c r="G120" i="37"/>
  <c r="I120" i="37" s="1"/>
  <c r="J120" i="37" s="1"/>
  <c r="E121" i="37"/>
  <c r="G124" i="27"/>
  <c r="I124" i="27" s="1"/>
  <c r="J124" i="27" s="1"/>
  <c r="D125" i="27"/>
  <c r="E125" i="27"/>
  <c r="D132" i="7"/>
  <c r="G131" i="7"/>
  <c r="I131" i="7" s="1"/>
  <c r="J131" i="7" s="1"/>
  <c r="E132" i="7"/>
  <c r="F131" i="10"/>
  <c r="H131" i="10" s="1"/>
  <c r="B131" i="10"/>
  <c r="G119" i="41"/>
  <c r="I119" i="41" s="1"/>
  <c r="J119" i="41" s="1"/>
  <c r="D120" i="41"/>
  <c r="E120" i="41"/>
  <c r="G123" i="28"/>
  <c r="I123" i="28" s="1"/>
  <c r="J123" i="28" s="1"/>
  <c r="D124" i="28"/>
  <c r="E124" i="28"/>
  <c r="G129" i="8"/>
  <c r="I129" i="8" s="1"/>
  <c r="J129" i="8" s="1"/>
  <c r="D130" i="8"/>
  <c r="E130" i="8"/>
  <c r="G118" i="43"/>
  <c r="I118" i="43" s="1"/>
  <c r="J118" i="43" s="1"/>
  <c r="D119" i="43"/>
  <c r="E119" i="43"/>
  <c r="D127" i="23"/>
  <c r="G126" i="23"/>
  <c r="I126" i="23" s="1"/>
  <c r="J126" i="23" s="1"/>
  <c r="E127" i="23"/>
  <c r="G119" i="38"/>
  <c r="I119" i="38" s="1"/>
  <c r="J119" i="38" s="1"/>
  <c r="D120" i="38"/>
  <c r="E120" i="38"/>
  <c r="G118" i="42"/>
  <c r="I118" i="42" s="1"/>
  <c r="J118" i="42" s="1"/>
  <c r="D119" i="42"/>
  <c r="E119" i="42"/>
  <c r="H118" i="44"/>
  <c r="H117" i="46"/>
  <c r="G117" i="46"/>
  <c r="I117" i="46" s="1"/>
  <c r="D118" i="46"/>
  <c r="E118" i="46"/>
  <c r="H123" i="29"/>
  <c r="G119" i="40"/>
  <c r="I119" i="40" s="1"/>
  <c r="J119" i="40" s="1"/>
  <c r="D120" i="40"/>
  <c r="E120" i="40"/>
  <c r="G120" i="39"/>
  <c r="I120" i="39" s="1"/>
  <c r="J120" i="39" s="1"/>
  <c r="D121" i="39"/>
  <c r="E121" i="39"/>
  <c r="D129" i="3"/>
  <c r="G128" i="3"/>
  <c r="I128" i="3" s="1"/>
  <c r="J128" i="3" s="1"/>
  <c r="E129" i="3"/>
  <c r="G125" i="24"/>
  <c r="I125" i="24" s="1"/>
  <c r="J125" i="24" s="1"/>
  <c r="D126" i="24"/>
  <c r="E126" i="24"/>
  <c r="H122" i="30"/>
  <c r="H130" i="9"/>
  <c r="G129" i="6"/>
  <c r="I129" i="6" s="1"/>
  <c r="J129" i="6" s="1"/>
  <c r="D130" i="6"/>
  <c r="E130" i="6"/>
  <c r="B116" i="51" l="1"/>
  <c r="F116" i="51"/>
  <c r="H115" i="51"/>
  <c r="I115" i="51"/>
  <c r="J115" i="51" s="1"/>
  <c r="B116" i="57"/>
  <c r="F116" i="57"/>
  <c r="H115" i="57"/>
  <c r="I115" i="57"/>
  <c r="D116" i="50"/>
  <c r="B116" i="50" s="1"/>
  <c r="F120" i="52"/>
  <c r="I119" i="52"/>
  <c r="H119" i="52"/>
  <c r="E116" i="50"/>
  <c r="H115" i="50"/>
  <c r="I115" i="50"/>
  <c r="J130" i="11"/>
  <c r="J155" i="11" s="1"/>
  <c r="J117" i="46"/>
  <c r="J128" i="5"/>
  <c r="J130" i="9"/>
  <c r="J155" i="9" s="1"/>
  <c r="J128" i="4"/>
  <c r="J118" i="44"/>
  <c r="D132" i="10"/>
  <c r="G131" i="10"/>
  <c r="I131" i="10" s="1"/>
  <c r="J131" i="10" s="1"/>
  <c r="E132" i="10"/>
  <c r="J122" i="30"/>
  <c r="F121" i="39"/>
  <c r="H121" i="39" s="1"/>
  <c r="B121" i="39"/>
  <c r="F120" i="40"/>
  <c r="H120" i="40" s="1"/>
  <c r="B120" i="40"/>
  <c r="F127" i="23"/>
  <c r="B127" i="23"/>
  <c r="B124" i="28"/>
  <c r="F124" i="28"/>
  <c r="H124" i="28" s="1"/>
  <c r="B121" i="37"/>
  <c r="F121" i="37"/>
  <c r="H121" i="37" s="1"/>
  <c r="F123" i="30"/>
  <c r="H123" i="30" s="1"/>
  <c r="B123" i="30"/>
  <c r="B131" i="11"/>
  <c r="F131" i="11"/>
  <c r="B119" i="42"/>
  <c r="F119" i="42"/>
  <c r="H119" i="42" s="1"/>
  <c r="B124" i="31"/>
  <c r="F124" i="31"/>
  <c r="H124" i="31" s="1"/>
  <c r="F129" i="4"/>
  <c r="B129" i="4"/>
  <c r="B128" i="25"/>
  <c r="F128" i="25"/>
  <c r="H128" i="25" s="1"/>
  <c r="F119" i="43"/>
  <c r="B119" i="43"/>
  <c r="B132" i="7"/>
  <c r="F132" i="7"/>
  <c r="H132" i="7" s="1"/>
  <c r="F124" i="29"/>
  <c r="H124" i="29" s="1"/>
  <c r="B124" i="29"/>
  <c r="F129" i="5"/>
  <c r="B129" i="5"/>
  <c r="F126" i="24"/>
  <c r="B126" i="24"/>
  <c r="B129" i="3"/>
  <c r="F129" i="3"/>
  <c r="H129" i="3" s="1"/>
  <c r="F120" i="41"/>
  <c r="B120" i="41"/>
  <c r="F119" i="45"/>
  <c r="B119" i="45"/>
  <c r="J123" i="29"/>
  <c r="B130" i="8"/>
  <c r="F130" i="8"/>
  <c r="B130" i="6"/>
  <c r="F130" i="6"/>
  <c r="B118" i="46"/>
  <c r="F118" i="46"/>
  <c r="F120" i="38"/>
  <c r="H120" i="38" s="1"/>
  <c r="B120" i="38"/>
  <c r="F125" i="27"/>
  <c r="H125" i="27" s="1"/>
  <c r="B125" i="27"/>
  <c r="F131" i="9"/>
  <c r="B131" i="9"/>
  <c r="F119" i="44"/>
  <c r="B119" i="44"/>
  <c r="B128" i="22"/>
  <c r="F128" i="22"/>
  <c r="H128" i="22" s="1"/>
  <c r="G116" i="51" l="1"/>
  <c r="D117" i="51"/>
  <c r="E117" i="51"/>
  <c r="J115" i="57"/>
  <c r="F116" i="50"/>
  <c r="G116" i="50" s="1"/>
  <c r="J119" i="52"/>
  <c r="G116" i="57"/>
  <c r="D117" i="57"/>
  <c r="E117" i="57"/>
  <c r="G120" i="52"/>
  <c r="D121" i="52"/>
  <c r="B121" i="52" s="1"/>
  <c r="E121" i="52"/>
  <c r="J115" i="50"/>
  <c r="D125" i="28"/>
  <c r="G124" i="28"/>
  <c r="I124" i="28" s="1"/>
  <c r="J124" i="28" s="1"/>
  <c r="E125" i="28"/>
  <c r="H130" i="6"/>
  <c r="G130" i="6"/>
  <c r="I130" i="6" s="1"/>
  <c r="D131" i="6"/>
  <c r="E131" i="6"/>
  <c r="D129" i="22"/>
  <c r="G128" i="22"/>
  <c r="I128" i="22" s="1"/>
  <c r="J128" i="22" s="1"/>
  <c r="E129" i="22"/>
  <c r="H120" i="41"/>
  <c r="D121" i="41"/>
  <c r="G120" i="41"/>
  <c r="I120" i="41" s="1"/>
  <c r="E121" i="41"/>
  <c r="H129" i="5"/>
  <c r="D130" i="5"/>
  <c r="G129" i="5"/>
  <c r="I129" i="5" s="1"/>
  <c r="E130" i="5"/>
  <c r="H119" i="43"/>
  <c r="G119" i="43"/>
  <c r="I119" i="43" s="1"/>
  <c r="D120" i="43"/>
  <c r="E120" i="43"/>
  <c r="G124" i="31"/>
  <c r="I124" i="31" s="1"/>
  <c r="J124" i="31" s="1"/>
  <c r="D125" i="31"/>
  <c r="E125" i="31"/>
  <c r="G121" i="39"/>
  <c r="I121" i="39" s="1"/>
  <c r="J121" i="39" s="1"/>
  <c r="D122" i="39"/>
  <c r="E122" i="39"/>
  <c r="D127" i="24"/>
  <c r="G126" i="24"/>
  <c r="I126" i="24" s="1"/>
  <c r="E127" i="24"/>
  <c r="D130" i="4"/>
  <c r="G129" i="4"/>
  <c r="I129" i="4" s="1"/>
  <c r="E130" i="4"/>
  <c r="G125" i="27"/>
  <c r="I125" i="27" s="1"/>
  <c r="J125" i="27" s="1"/>
  <c r="D126" i="27"/>
  <c r="E126" i="27"/>
  <c r="D130" i="3"/>
  <c r="G129" i="3"/>
  <c r="I129" i="3" s="1"/>
  <c r="J129" i="3" s="1"/>
  <c r="E130" i="3"/>
  <c r="D129" i="25"/>
  <c r="G128" i="25"/>
  <c r="I128" i="25" s="1"/>
  <c r="J128" i="25" s="1"/>
  <c r="E129" i="25"/>
  <c r="D124" i="30"/>
  <c r="G123" i="30"/>
  <c r="I123" i="30" s="1"/>
  <c r="J123" i="30" s="1"/>
  <c r="E124" i="30"/>
  <c r="H127" i="23"/>
  <c r="G127" i="23"/>
  <c r="I127" i="23" s="1"/>
  <c r="D128" i="23"/>
  <c r="E128" i="23"/>
  <c r="G131" i="11"/>
  <c r="I131" i="11" s="1"/>
  <c r="D132" i="11"/>
  <c r="E132" i="11"/>
  <c r="H119" i="44"/>
  <c r="D120" i="44"/>
  <c r="G119" i="44"/>
  <c r="I119" i="44" s="1"/>
  <c r="E120" i="44"/>
  <c r="D125" i="29"/>
  <c r="G124" i="29"/>
  <c r="I124" i="29" s="1"/>
  <c r="J124" i="29" s="1"/>
  <c r="E125" i="29"/>
  <c r="D120" i="42"/>
  <c r="G119" i="42"/>
  <c r="I119" i="42" s="1"/>
  <c r="J119" i="42" s="1"/>
  <c r="E120" i="42"/>
  <c r="D132" i="9"/>
  <c r="G131" i="9"/>
  <c r="I131" i="9" s="1"/>
  <c r="E132" i="9"/>
  <c r="D120" i="45"/>
  <c r="G119" i="45"/>
  <c r="I119" i="45" s="1"/>
  <c r="E120" i="45"/>
  <c r="H131" i="9"/>
  <c r="D121" i="38"/>
  <c r="G120" i="38"/>
  <c r="I120" i="38" s="1"/>
  <c r="J120" i="38" s="1"/>
  <c r="E121" i="38"/>
  <c r="H119" i="45"/>
  <c r="H126" i="24"/>
  <c r="H129" i="4"/>
  <c r="G121" i="37"/>
  <c r="I121" i="37" s="1"/>
  <c r="J121" i="37" s="1"/>
  <c r="D122" i="37"/>
  <c r="E122" i="37"/>
  <c r="F132" i="10"/>
  <c r="B132" i="10"/>
  <c r="H130" i="8"/>
  <c r="D131" i="8"/>
  <c r="G130" i="8"/>
  <c r="I130" i="8" s="1"/>
  <c r="E131" i="8"/>
  <c r="H118" i="46"/>
  <c r="D119" i="46"/>
  <c r="G118" i="46"/>
  <c r="I118" i="46" s="1"/>
  <c r="E119" i="46"/>
  <c r="D133" i="7"/>
  <c r="G132" i="7"/>
  <c r="I132" i="7" s="1"/>
  <c r="J132" i="7" s="1"/>
  <c r="E133" i="7"/>
  <c r="H131" i="11"/>
  <c r="G120" i="40"/>
  <c r="I120" i="40" s="1"/>
  <c r="J120" i="40" s="1"/>
  <c r="D121" i="40"/>
  <c r="E121" i="40"/>
  <c r="E117" i="50" l="1"/>
  <c r="D117" i="50"/>
  <c r="B117" i="50" s="1"/>
  <c r="B117" i="51"/>
  <c r="F117" i="51"/>
  <c r="H116" i="51"/>
  <c r="I116" i="51"/>
  <c r="F121" i="52"/>
  <c r="G121" i="52" s="1"/>
  <c r="B117" i="57"/>
  <c r="F117" i="57"/>
  <c r="H116" i="57"/>
  <c r="I116" i="57"/>
  <c r="H120" i="52"/>
  <c r="I120" i="52"/>
  <c r="F117" i="50"/>
  <c r="D118" i="50" s="1"/>
  <c r="H116" i="50"/>
  <c r="I116" i="50"/>
  <c r="J130" i="6"/>
  <c r="J130" i="8"/>
  <c r="J120" i="41"/>
  <c r="J126" i="24"/>
  <c r="J119" i="43"/>
  <c r="J118" i="46"/>
  <c r="H132" i="10"/>
  <c r="G132" i="10"/>
  <c r="I132" i="10" s="1"/>
  <c r="D133" i="10"/>
  <c r="E133" i="10"/>
  <c r="B132" i="9"/>
  <c r="F132" i="9"/>
  <c r="J119" i="44"/>
  <c r="J127" i="23"/>
  <c r="F130" i="4"/>
  <c r="H130" i="4" s="1"/>
  <c r="B130" i="4"/>
  <c r="B125" i="31"/>
  <c r="F125" i="31"/>
  <c r="H125" i="31" s="1"/>
  <c r="F130" i="5"/>
  <c r="B130" i="5"/>
  <c r="B129" i="22"/>
  <c r="F129" i="22"/>
  <c r="H129" i="22" s="1"/>
  <c r="B120" i="42"/>
  <c r="F120" i="42"/>
  <c r="H120" i="42" s="1"/>
  <c r="B127" i="24"/>
  <c r="F127" i="24"/>
  <c r="H127" i="24" s="1"/>
  <c r="B120" i="43"/>
  <c r="F120" i="43"/>
  <c r="H120" i="43" s="1"/>
  <c r="B121" i="40"/>
  <c r="F121" i="40"/>
  <c r="B130" i="3"/>
  <c r="F130" i="3"/>
  <c r="H130" i="3" s="1"/>
  <c r="B131" i="6"/>
  <c r="F131" i="6"/>
  <c r="J119" i="45"/>
  <c r="F124" i="30"/>
  <c r="B124" i="30"/>
  <c r="B126" i="27"/>
  <c r="F126" i="27"/>
  <c r="H126" i="27" s="1"/>
  <c r="B121" i="41"/>
  <c r="F121" i="41"/>
  <c r="F120" i="44"/>
  <c r="B120" i="44"/>
  <c r="F122" i="37"/>
  <c r="H122" i="37" s="1"/>
  <c r="B122" i="37"/>
  <c r="F132" i="11"/>
  <c r="B132" i="11"/>
  <c r="B131" i="8"/>
  <c r="F131" i="8"/>
  <c r="H131" i="8" s="1"/>
  <c r="B120" i="45"/>
  <c r="F120" i="45"/>
  <c r="B122" i="39"/>
  <c r="F122" i="39"/>
  <c r="F119" i="46"/>
  <c r="B119" i="46"/>
  <c r="B133" i="7"/>
  <c r="F133" i="7"/>
  <c r="H133" i="7" s="1"/>
  <c r="B125" i="29"/>
  <c r="F125" i="29"/>
  <c r="H125" i="29" s="1"/>
  <c r="F121" i="38"/>
  <c r="B121" i="38"/>
  <c r="B128" i="23"/>
  <c r="F128" i="23"/>
  <c r="H128" i="23" s="1"/>
  <c r="B129" i="25"/>
  <c r="F129" i="25"/>
  <c r="H129" i="25" s="1"/>
  <c r="J129" i="4"/>
  <c r="J129" i="5"/>
  <c r="B125" i="28"/>
  <c r="F125" i="28"/>
  <c r="H125" i="28" s="1"/>
  <c r="J116" i="51" l="1"/>
  <c r="G117" i="51"/>
  <c r="D118" i="51"/>
  <c r="E118" i="51"/>
  <c r="E122" i="52"/>
  <c r="D122" i="52"/>
  <c r="B122" i="52" s="1"/>
  <c r="J116" i="57"/>
  <c r="J120" i="52"/>
  <c r="I121" i="52"/>
  <c r="H121" i="52"/>
  <c r="G117" i="57"/>
  <c r="D118" i="57"/>
  <c r="E118" i="57"/>
  <c r="G117" i="50"/>
  <c r="H117" i="50" s="1"/>
  <c r="J116" i="50"/>
  <c r="E118" i="50"/>
  <c r="F118" i="50" s="1"/>
  <c r="B118" i="50"/>
  <c r="J132" i="10"/>
  <c r="D122" i="41"/>
  <c r="G121" i="41"/>
  <c r="I121" i="41" s="1"/>
  <c r="E122" i="41"/>
  <c r="H121" i="38"/>
  <c r="G121" i="38"/>
  <c r="I121" i="38" s="1"/>
  <c r="D122" i="38"/>
  <c r="E122" i="38"/>
  <c r="H121" i="41"/>
  <c r="D125" i="30"/>
  <c r="G124" i="30"/>
  <c r="I124" i="30" s="1"/>
  <c r="E125" i="30"/>
  <c r="G121" i="40"/>
  <c r="I121" i="40" s="1"/>
  <c r="D122" i="40"/>
  <c r="E122" i="40"/>
  <c r="D131" i="5"/>
  <c r="G130" i="5"/>
  <c r="I130" i="5" s="1"/>
  <c r="E131" i="5"/>
  <c r="H131" i="6"/>
  <c r="G131" i="6"/>
  <c r="I131" i="6" s="1"/>
  <c r="D132" i="6"/>
  <c r="E132" i="6"/>
  <c r="G120" i="43"/>
  <c r="I120" i="43" s="1"/>
  <c r="J120" i="43" s="1"/>
  <c r="D121" i="43"/>
  <c r="E121" i="43"/>
  <c r="D130" i="25"/>
  <c r="G129" i="25"/>
  <c r="I129" i="25" s="1"/>
  <c r="J129" i="25" s="1"/>
  <c r="E130" i="25"/>
  <c r="G125" i="29"/>
  <c r="I125" i="29" s="1"/>
  <c r="J125" i="29" s="1"/>
  <c r="D126" i="29"/>
  <c r="E126" i="29"/>
  <c r="H132" i="11"/>
  <c r="G132" i="11"/>
  <c r="I132" i="11" s="1"/>
  <c r="D133" i="11"/>
  <c r="E133" i="11"/>
  <c r="D126" i="31"/>
  <c r="G125" i="31"/>
  <c r="I125" i="31" s="1"/>
  <c r="J125" i="31" s="1"/>
  <c r="E126" i="31"/>
  <c r="H120" i="45"/>
  <c r="G120" i="45"/>
  <c r="I120" i="45" s="1"/>
  <c r="D121" i="45"/>
  <c r="E121" i="45"/>
  <c r="D127" i="27"/>
  <c r="G126" i="27"/>
  <c r="I126" i="27" s="1"/>
  <c r="J126" i="27" s="1"/>
  <c r="E127" i="27"/>
  <c r="D130" i="22"/>
  <c r="G129" i="22"/>
  <c r="I129" i="22" s="1"/>
  <c r="J129" i="22" s="1"/>
  <c r="E130" i="22"/>
  <c r="F133" i="10"/>
  <c r="B133" i="10"/>
  <c r="D129" i="23"/>
  <c r="G128" i="23"/>
  <c r="I128" i="23" s="1"/>
  <c r="J128" i="23" s="1"/>
  <c r="E129" i="23"/>
  <c r="D134" i="7"/>
  <c r="G133" i="7"/>
  <c r="I133" i="7" s="1"/>
  <c r="J133" i="7" s="1"/>
  <c r="E134" i="7"/>
  <c r="D123" i="37"/>
  <c r="G122" i="37"/>
  <c r="I122" i="37" s="1"/>
  <c r="J122" i="37" s="1"/>
  <c r="E123" i="37"/>
  <c r="G130" i="3"/>
  <c r="I130" i="3" s="1"/>
  <c r="J130" i="3" s="1"/>
  <c r="D131" i="3"/>
  <c r="E131" i="3" s="1"/>
  <c r="H124" i="30"/>
  <c r="D128" i="24"/>
  <c r="G127" i="24"/>
  <c r="I127" i="24" s="1"/>
  <c r="J127" i="24" s="1"/>
  <c r="E128" i="24"/>
  <c r="H130" i="5"/>
  <c r="D131" i="4"/>
  <c r="G130" i="4"/>
  <c r="I130" i="4" s="1"/>
  <c r="J130" i="4" s="1"/>
  <c r="E131" i="4"/>
  <c r="D120" i="46"/>
  <c r="G119" i="46"/>
  <c r="I119" i="46" s="1"/>
  <c r="E120" i="46"/>
  <c r="G120" i="42"/>
  <c r="I120" i="42" s="1"/>
  <c r="J120" i="42" s="1"/>
  <c r="D121" i="42"/>
  <c r="E121" i="42"/>
  <c r="H132" i="9"/>
  <c r="D133" i="9"/>
  <c r="G132" i="9"/>
  <c r="I132" i="9" s="1"/>
  <c r="E133" i="9"/>
  <c r="H122" i="39"/>
  <c r="G122" i="39"/>
  <c r="I122" i="39" s="1"/>
  <c r="D123" i="39"/>
  <c r="E123" i="39"/>
  <c r="D126" i="28"/>
  <c r="G125" i="28"/>
  <c r="I125" i="28" s="1"/>
  <c r="J125" i="28" s="1"/>
  <c r="E126" i="28"/>
  <c r="H119" i="46"/>
  <c r="G131" i="8"/>
  <c r="I131" i="8" s="1"/>
  <c r="J131" i="8" s="1"/>
  <c r="D132" i="8"/>
  <c r="E132" i="8"/>
  <c r="H120" i="44"/>
  <c r="D121" i="44"/>
  <c r="G120" i="44"/>
  <c r="I120" i="44" s="1"/>
  <c r="E121" i="44"/>
  <c r="H121" i="40"/>
  <c r="B118" i="51" l="1"/>
  <c r="F118" i="51"/>
  <c r="H117" i="51"/>
  <c r="I117" i="51"/>
  <c r="F122" i="52"/>
  <c r="D123" i="52" s="1"/>
  <c r="B123" i="52" s="1"/>
  <c r="J121" i="52"/>
  <c r="F118" i="57"/>
  <c r="B118" i="57"/>
  <c r="H117" i="57"/>
  <c r="I117" i="57"/>
  <c r="I117" i="50"/>
  <c r="J117" i="50" s="1"/>
  <c r="D119" i="50"/>
  <c r="G118" i="50"/>
  <c r="E119" i="50"/>
  <c r="J121" i="38"/>
  <c r="J130" i="5"/>
  <c r="J120" i="44"/>
  <c r="J120" i="45"/>
  <c r="J131" i="6"/>
  <c r="G133" i="10"/>
  <c r="I133" i="10" s="1"/>
  <c r="D134" i="10"/>
  <c r="E134" i="10"/>
  <c r="B120" i="46"/>
  <c r="F120" i="46"/>
  <c r="H120" i="46" s="1"/>
  <c r="B131" i="5"/>
  <c r="F131" i="5"/>
  <c r="B122" i="38"/>
  <c r="F122" i="38"/>
  <c r="H122" i="38" s="1"/>
  <c r="B130" i="22"/>
  <c r="F130" i="22"/>
  <c r="H130" i="22" s="1"/>
  <c r="B126" i="29"/>
  <c r="F126" i="29"/>
  <c r="F122" i="40"/>
  <c r="H122" i="40" s="1"/>
  <c r="B122" i="40"/>
  <c r="B128" i="24"/>
  <c r="F128" i="24"/>
  <c r="H128" i="24" s="1"/>
  <c r="F134" i="7"/>
  <c r="B134" i="7"/>
  <c r="B121" i="44"/>
  <c r="F121" i="44"/>
  <c r="B131" i="4"/>
  <c r="F131" i="4"/>
  <c r="H131" i="4" s="1"/>
  <c r="B132" i="6"/>
  <c r="F132" i="6"/>
  <c r="J121" i="40"/>
  <c r="J119" i="46"/>
  <c r="B121" i="43"/>
  <c r="F121" i="43"/>
  <c r="H121" i="43" s="1"/>
  <c r="B126" i="28"/>
  <c r="F126" i="28"/>
  <c r="H126" i="28" s="1"/>
  <c r="F123" i="39"/>
  <c r="H123" i="39" s="1"/>
  <c r="B123" i="39"/>
  <c r="B129" i="23"/>
  <c r="F129" i="23"/>
  <c r="H129" i="23" s="1"/>
  <c r="B126" i="31"/>
  <c r="F126" i="31"/>
  <c r="B121" i="45"/>
  <c r="F121" i="45"/>
  <c r="H121" i="45" s="1"/>
  <c r="B133" i="9"/>
  <c r="F133" i="9"/>
  <c r="H133" i="9" s="1"/>
  <c r="F131" i="3"/>
  <c r="B131" i="3"/>
  <c r="F121" i="42"/>
  <c r="H121" i="42" s="1"/>
  <c r="B121" i="42"/>
  <c r="B132" i="8"/>
  <c r="F132" i="8"/>
  <c r="H132" i="8" s="1"/>
  <c r="J122" i="39"/>
  <c r="H133" i="10"/>
  <c r="B127" i="27"/>
  <c r="F127" i="27"/>
  <c r="J124" i="30"/>
  <c r="J121" i="41"/>
  <c r="B123" i="37"/>
  <c r="F123" i="37"/>
  <c r="B133" i="11"/>
  <c r="F133" i="11"/>
  <c r="H133" i="11" s="1"/>
  <c r="B130" i="25"/>
  <c r="F130" i="25"/>
  <c r="B125" i="30"/>
  <c r="F125" i="30"/>
  <c r="B122" i="41"/>
  <c r="F122" i="41"/>
  <c r="J117" i="51" l="1"/>
  <c r="J117" i="57"/>
  <c r="G118" i="51"/>
  <c r="D119" i="51"/>
  <c r="E119" i="51"/>
  <c r="E123" i="52"/>
  <c r="F123" i="52" s="1"/>
  <c r="G122" i="52"/>
  <c r="G118" i="57"/>
  <c r="D119" i="57"/>
  <c r="E119" i="57"/>
  <c r="H118" i="50"/>
  <c r="I118" i="50"/>
  <c r="B119" i="50"/>
  <c r="F119" i="50"/>
  <c r="G132" i="8"/>
  <c r="I132" i="8" s="1"/>
  <c r="J132" i="8" s="1"/>
  <c r="D133" i="8"/>
  <c r="E133" i="8"/>
  <c r="G133" i="9"/>
  <c r="I133" i="9" s="1"/>
  <c r="D134" i="9"/>
  <c r="E134" i="9"/>
  <c r="D129" i="24"/>
  <c r="G128" i="24"/>
  <c r="I128" i="24" s="1"/>
  <c r="J128" i="24" s="1"/>
  <c r="E129" i="24"/>
  <c r="D131" i="22"/>
  <c r="G130" i="22"/>
  <c r="I130" i="22" s="1"/>
  <c r="J130" i="22" s="1"/>
  <c r="J155" i="22" s="1"/>
  <c r="E131" i="22"/>
  <c r="H125" i="30"/>
  <c r="D126" i="30"/>
  <c r="G125" i="30"/>
  <c r="I125" i="30" s="1"/>
  <c r="E126" i="30"/>
  <c r="G126" i="31"/>
  <c r="I126" i="31" s="1"/>
  <c r="D127" i="31"/>
  <c r="E127" i="31"/>
  <c r="D130" i="23"/>
  <c r="G129" i="23"/>
  <c r="I129" i="23" s="1"/>
  <c r="J129" i="23" s="1"/>
  <c r="E130" i="23"/>
  <c r="D132" i="4"/>
  <c r="G131" i="4"/>
  <c r="I131" i="4" s="1"/>
  <c r="J131" i="4" s="1"/>
  <c r="E132" i="4"/>
  <c r="G120" i="46"/>
  <c r="I120" i="46" s="1"/>
  <c r="J120" i="46" s="1"/>
  <c r="D121" i="46"/>
  <c r="E121" i="46"/>
  <c r="G131" i="3"/>
  <c r="I131" i="3" s="1"/>
  <c r="D132" i="3"/>
  <c r="E132" i="3"/>
  <c r="H132" i="6"/>
  <c r="G132" i="6"/>
  <c r="I132" i="6" s="1"/>
  <c r="D133" i="6"/>
  <c r="E133" i="6"/>
  <c r="D132" i="5"/>
  <c r="G131" i="5"/>
  <c r="I131" i="5" s="1"/>
  <c r="E132" i="5"/>
  <c r="H130" i="25"/>
  <c r="G130" i="25"/>
  <c r="I130" i="25" s="1"/>
  <c r="D131" i="25"/>
  <c r="E131" i="25"/>
  <c r="D134" i="11"/>
  <c r="G133" i="11"/>
  <c r="I133" i="11" s="1"/>
  <c r="E134" i="11"/>
  <c r="G121" i="42"/>
  <c r="I121" i="42" s="1"/>
  <c r="J121" i="42" s="1"/>
  <c r="D122" i="42"/>
  <c r="E122" i="42"/>
  <c r="D122" i="45"/>
  <c r="G121" i="45"/>
  <c r="I121" i="45" s="1"/>
  <c r="J121" i="45" s="1"/>
  <c r="E122" i="45"/>
  <c r="H121" i="44"/>
  <c r="G121" i="44"/>
  <c r="I121" i="44" s="1"/>
  <c r="D122" i="44"/>
  <c r="E122" i="44"/>
  <c r="G122" i="38"/>
  <c r="I122" i="38" s="1"/>
  <c r="J122" i="38" s="1"/>
  <c r="D123" i="38"/>
  <c r="E123" i="38"/>
  <c r="G126" i="28"/>
  <c r="I126" i="28" s="1"/>
  <c r="J126" i="28" s="1"/>
  <c r="D127" i="28"/>
  <c r="E127" i="28"/>
  <c r="H127" i="27"/>
  <c r="G127" i="27"/>
  <c r="I127" i="27" s="1"/>
  <c r="D128" i="27"/>
  <c r="E128" i="27"/>
  <c r="G121" i="43"/>
  <c r="I121" i="43" s="1"/>
  <c r="J121" i="43" s="1"/>
  <c r="D122" i="43"/>
  <c r="E122" i="43"/>
  <c r="H122" i="41"/>
  <c r="G122" i="41"/>
  <c r="I122" i="41" s="1"/>
  <c r="D123" i="41"/>
  <c r="E123" i="41"/>
  <c r="H131" i="3"/>
  <c r="G122" i="40"/>
  <c r="I122" i="40" s="1"/>
  <c r="J122" i="40" s="1"/>
  <c r="D123" i="40"/>
  <c r="E123" i="40"/>
  <c r="F134" i="10"/>
  <c r="B134" i="10"/>
  <c r="D124" i="37"/>
  <c r="G123" i="37"/>
  <c r="I123" i="37" s="1"/>
  <c r="E124" i="37"/>
  <c r="H134" i="7"/>
  <c r="D135" i="7"/>
  <c r="G134" i="7"/>
  <c r="I134" i="7" s="1"/>
  <c r="E135" i="7"/>
  <c r="H123" i="37"/>
  <c r="H126" i="31"/>
  <c r="G123" i="39"/>
  <c r="I123" i="39" s="1"/>
  <c r="J123" i="39" s="1"/>
  <c r="D124" i="39"/>
  <c r="E124" i="39"/>
  <c r="H126" i="29"/>
  <c r="D127" i="29"/>
  <c r="G126" i="29"/>
  <c r="I126" i="29" s="1"/>
  <c r="E127" i="29"/>
  <c r="H131" i="5"/>
  <c r="J133" i="10"/>
  <c r="B119" i="51" l="1"/>
  <c r="F119" i="51"/>
  <c r="H118" i="51"/>
  <c r="I118" i="51"/>
  <c r="J118" i="51" s="1"/>
  <c r="H122" i="52"/>
  <c r="I122" i="52"/>
  <c r="D124" i="52"/>
  <c r="B124" i="52" s="1"/>
  <c r="G123" i="52"/>
  <c r="E124" i="52"/>
  <c r="J118" i="50"/>
  <c r="F119" i="57"/>
  <c r="B119" i="57"/>
  <c r="H118" i="57"/>
  <c r="I118" i="57"/>
  <c r="D120" i="50"/>
  <c r="G119" i="50"/>
  <c r="J121" i="44"/>
  <c r="J123" i="37"/>
  <c r="J127" i="27"/>
  <c r="J125" i="30"/>
  <c r="J126" i="29"/>
  <c r="J130" i="25"/>
  <c r="F129" i="24"/>
  <c r="H129" i="24" s="1"/>
  <c r="B129" i="24"/>
  <c r="J122" i="41"/>
  <c r="F122" i="44"/>
  <c r="H122" i="44" s="1"/>
  <c r="B122" i="44"/>
  <c r="B132" i="3"/>
  <c r="F132" i="3"/>
  <c r="F126" i="30"/>
  <c r="H126" i="30" s="1"/>
  <c r="B126" i="30"/>
  <c r="B123" i="41"/>
  <c r="F123" i="41"/>
  <c r="H123" i="41" s="1"/>
  <c r="H134" i="10"/>
  <c r="D135" i="10"/>
  <c r="G134" i="10"/>
  <c r="I134" i="10" s="1"/>
  <c r="E135" i="10"/>
  <c r="J131" i="5"/>
  <c r="J131" i="3"/>
  <c r="B134" i="9"/>
  <c r="F134" i="9"/>
  <c r="H134" i="9" s="1"/>
  <c r="F122" i="42"/>
  <c r="B122" i="42"/>
  <c r="F132" i="4"/>
  <c r="H132" i="4" s="1"/>
  <c r="B132" i="4"/>
  <c r="F127" i="29"/>
  <c r="B127" i="29"/>
  <c r="J134" i="7"/>
  <c r="F127" i="28"/>
  <c r="H127" i="28" s="1"/>
  <c r="B127" i="28"/>
  <c r="F132" i="5"/>
  <c r="B132" i="5"/>
  <c r="F130" i="23"/>
  <c r="H130" i="23" s="1"/>
  <c r="B130" i="23"/>
  <c r="F135" i="7"/>
  <c r="H135" i="7" s="1"/>
  <c r="B135" i="7"/>
  <c r="F123" i="40"/>
  <c r="H123" i="40" s="1"/>
  <c r="B123" i="40"/>
  <c r="B122" i="43"/>
  <c r="F122" i="43"/>
  <c r="B134" i="11"/>
  <c r="F134" i="11"/>
  <c r="H134" i="11" s="1"/>
  <c r="B121" i="46"/>
  <c r="F121" i="46"/>
  <c r="H121" i="46" s="1"/>
  <c r="B128" i="27"/>
  <c r="F128" i="27"/>
  <c r="B124" i="37"/>
  <c r="F124" i="37"/>
  <c r="H124" i="37" s="1"/>
  <c r="F133" i="6"/>
  <c r="B133" i="6"/>
  <c r="F127" i="31"/>
  <c r="B127" i="31"/>
  <c r="B131" i="22"/>
  <c r="F131" i="22"/>
  <c r="H131" i="22" s="1"/>
  <c r="B133" i="8"/>
  <c r="F133" i="8"/>
  <c r="H133" i="8" s="1"/>
  <c r="F124" i="39"/>
  <c r="B124" i="39"/>
  <c r="F123" i="38"/>
  <c r="B123" i="38"/>
  <c r="F122" i="45"/>
  <c r="H122" i="45" s="1"/>
  <c r="B122" i="45"/>
  <c r="F131" i="25"/>
  <c r="B131" i="25"/>
  <c r="J132" i="6"/>
  <c r="J126" i="31"/>
  <c r="F124" i="52" l="1"/>
  <c r="E125" i="52" s="1"/>
  <c r="D120" i="51"/>
  <c r="G119" i="51"/>
  <c r="E120" i="51"/>
  <c r="J122" i="52"/>
  <c r="G124" i="52"/>
  <c r="D125" i="52"/>
  <c r="B125" i="52" s="1"/>
  <c r="I123" i="52"/>
  <c r="H123" i="52"/>
  <c r="J118" i="57"/>
  <c r="D120" i="57"/>
  <c r="G119" i="57"/>
  <c r="E120" i="57"/>
  <c r="H119" i="50"/>
  <c r="I119" i="50"/>
  <c r="E120" i="50"/>
  <c r="F120" i="50" s="1"/>
  <c r="B120" i="50"/>
  <c r="H124" i="39"/>
  <c r="D125" i="39"/>
  <c r="G124" i="39"/>
  <c r="I124" i="39" s="1"/>
  <c r="E125" i="39"/>
  <c r="G128" i="27"/>
  <c r="I128" i="27" s="1"/>
  <c r="D129" i="27"/>
  <c r="E129" i="27"/>
  <c r="H122" i="43"/>
  <c r="G122" i="43"/>
  <c r="I122" i="43" s="1"/>
  <c r="D123" i="43"/>
  <c r="E123" i="43"/>
  <c r="G131" i="25"/>
  <c r="I131" i="25" s="1"/>
  <c r="D132" i="25"/>
  <c r="E132" i="25"/>
  <c r="G127" i="31"/>
  <c r="I127" i="31" s="1"/>
  <c r="D128" i="31"/>
  <c r="E128" i="31"/>
  <c r="G121" i="46"/>
  <c r="I121" i="46" s="1"/>
  <c r="J121" i="46" s="1"/>
  <c r="D122" i="46"/>
  <c r="E122" i="46"/>
  <c r="G122" i="44"/>
  <c r="I122" i="44" s="1"/>
  <c r="J122" i="44" s="1"/>
  <c r="D123" i="44"/>
  <c r="E123" i="44"/>
  <c r="D135" i="9"/>
  <c r="G134" i="9"/>
  <c r="I134" i="9" s="1"/>
  <c r="E135" i="9"/>
  <c r="D134" i="8"/>
  <c r="G133" i="8"/>
  <c r="I133" i="8" s="1"/>
  <c r="J133" i="8" s="1"/>
  <c r="E134" i="8"/>
  <c r="D131" i="23"/>
  <c r="G130" i="23"/>
  <c r="I130" i="23" s="1"/>
  <c r="J130" i="23" s="1"/>
  <c r="J155" i="23" s="1"/>
  <c r="E131" i="23"/>
  <c r="G123" i="41"/>
  <c r="I123" i="41" s="1"/>
  <c r="J123" i="41" s="1"/>
  <c r="D124" i="41"/>
  <c r="E124" i="41"/>
  <c r="H133" i="6"/>
  <c r="D134" i="6"/>
  <c r="G133" i="6"/>
  <c r="I133" i="6" s="1"/>
  <c r="E134" i="6"/>
  <c r="G122" i="45"/>
  <c r="I122" i="45" s="1"/>
  <c r="J122" i="45" s="1"/>
  <c r="D123" i="45"/>
  <c r="E123" i="45"/>
  <c r="G123" i="40"/>
  <c r="I123" i="40" s="1"/>
  <c r="J123" i="40" s="1"/>
  <c r="D124" i="40"/>
  <c r="E124" i="40"/>
  <c r="H132" i="5"/>
  <c r="G132" i="5"/>
  <c r="I132" i="5" s="1"/>
  <c r="D133" i="5"/>
  <c r="E133" i="5"/>
  <c r="H127" i="29"/>
  <c r="G127" i="29"/>
  <c r="I127" i="29" s="1"/>
  <c r="D128" i="29"/>
  <c r="E128" i="29"/>
  <c r="G132" i="4"/>
  <c r="I132" i="4" s="1"/>
  <c r="J132" i="4" s="1"/>
  <c r="D133" i="4"/>
  <c r="E133" i="4"/>
  <c r="G124" i="37"/>
  <c r="I124" i="37" s="1"/>
  <c r="J124" i="37" s="1"/>
  <c r="D125" i="37"/>
  <c r="E125" i="37"/>
  <c r="H123" i="38"/>
  <c r="G123" i="38"/>
  <c r="I123" i="38" s="1"/>
  <c r="D124" i="38"/>
  <c r="E124" i="38"/>
  <c r="D135" i="11"/>
  <c r="G134" i="11"/>
  <c r="I134" i="11" s="1"/>
  <c r="E135" i="11"/>
  <c r="J134" i="10"/>
  <c r="G126" i="30"/>
  <c r="I126" i="30" s="1"/>
  <c r="J126" i="30" s="1"/>
  <c r="D127" i="30"/>
  <c r="E127" i="30"/>
  <c r="G131" i="22"/>
  <c r="I131" i="22" s="1"/>
  <c r="D132" i="22"/>
  <c r="E132" i="22"/>
  <c r="H131" i="25"/>
  <c r="H127" i="31"/>
  <c r="H128" i="27"/>
  <c r="D136" i="7"/>
  <c r="G135" i="7"/>
  <c r="I135" i="7" s="1"/>
  <c r="J135" i="7" s="1"/>
  <c r="E136" i="7"/>
  <c r="G127" i="28"/>
  <c r="I127" i="28" s="1"/>
  <c r="J127" i="28" s="1"/>
  <c r="D128" i="28"/>
  <c r="E128" i="28"/>
  <c r="H122" i="42"/>
  <c r="D123" i="42"/>
  <c r="G122" i="42"/>
  <c r="I122" i="42" s="1"/>
  <c r="E123" i="42"/>
  <c r="B135" i="10"/>
  <c r="F135" i="10"/>
  <c r="H132" i="3"/>
  <c r="G132" i="3"/>
  <c r="I132" i="3" s="1"/>
  <c r="D133" i="3"/>
  <c r="E133" i="3" s="1"/>
  <c r="D130" i="24"/>
  <c r="G129" i="24"/>
  <c r="I129" i="24" s="1"/>
  <c r="J129" i="24" s="1"/>
  <c r="E130" i="24"/>
  <c r="H119" i="51" l="1"/>
  <c r="I119" i="51"/>
  <c r="J119" i="51" s="1"/>
  <c r="B120" i="51"/>
  <c r="F120" i="51"/>
  <c r="J123" i="52"/>
  <c r="H124" i="52"/>
  <c r="I124" i="52"/>
  <c r="F125" i="52"/>
  <c r="F120" i="57"/>
  <c r="B120" i="57"/>
  <c r="H119" i="57"/>
  <c r="I119" i="57"/>
  <c r="J119" i="50"/>
  <c r="D121" i="50"/>
  <c r="G120" i="50"/>
  <c r="J124" i="39"/>
  <c r="J133" i="6"/>
  <c r="J132" i="3"/>
  <c r="J122" i="42"/>
  <c r="J123" i="38"/>
  <c r="J132" i="5"/>
  <c r="J127" i="31"/>
  <c r="J128" i="27"/>
  <c r="J127" i="29"/>
  <c r="F130" i="24"/>
  <c r="H130" i="24" s="1"/>
  <c r="B130" i="24"/>
  <c r="B124" i="38"/>
  <c r="F124" i="38"/>
  <c r="H124" i="38" s="1"/>
  <c r="F131" i="23"/>
  <c r="B131" i="23"/>
  <c r="B123" i="44"/>
  <c r="F123" i="44"/>
  <c r="B129" i="27"/>
  <c r="F129" i="27"/>
  <c r="B128" i="31"/>
  <c r="F128" i="31"/>
  <c r="H128" i="31" s="1"/>
  <c r="B133" i="5"/>
  <c r="F133" i="5"/>
  <c r="B133" i="3"/>
  <c r="F133" i="3"/>
  <c r="H133" i="3" s="1"/>
  <c r="B123" i="42"/>
  <c r="F123" i="42"/>
  <c r="H123" i="42" s="1"/>
  <c r="F128" i="29"/>
  <c r="H128" i="29" s="1"/>
  <c r="B128" i="29"/>
  <c r="B124" i="40"/>
  <c r="F124" i="40"/>
  <c r="H124" i="40" s="1"/>
  <c r="J131" i="25"/>
  <c r="D136" i="10"/>
  <c r="G135" i="10"/>
  <c r="I135" i="10" s="1"/>
  <c r="E136" i="10"/>
  <c r="B135" i="11"/>
  <c r="F135" i="11"/>
  <c r="B135" i="9"/>
  <c r="F135" i="9"/>
  <c r="F127" i="30"/>
  <c r="B127" i="30"/>
  <c r="F134" i="8"/>
  <c r="H134" i="8" s="1"/>
  <c r="B134" i="8"/>
  <c r="B122" i="46"/>
  <c r="F122" i="46"/>
  <c r="F133" i="4"/>
  <c r="B133" i="4"/>
  <c r="B136" i="7"/>
  <c r="F136" i="7"/>
  <c r="H136" i="7" s="1"/>
  <c r="B134" i="6"/>
  <c r="F134" i="6"/>
  <c r="B125" i="37"/>
  <c r="F125" i="37"/>
  <c r="F124" i="41"/>
  <c r="H124" i="41" s="1"/>
  <c r="B124" i="41"/>
  <c r="F123" i="43"/>
  <c r="H123" i="43" s="1"/>
  <c r="B123" i="43"/>
  <c r="F125" i="39"/>
  <c r="B125" i="39"/>
  <c r="B132" i="22"/>
  <c r="F132" i="22"/>
  <c r="H132" i="22" s="1"/>
  <c r="F132" i="25"/>
  <c r="H132" i="25" s="1"/>
  <c r="B132" i="25"/>
  <c r="H135" i="10"/>
  <c r="F128" i="28"/>
  <c r="H128" i="28" s="1"/>
  <c r="B128" i="28"/>
  <c r="F123" i="45"/>
  <c r="H123" i="45" s="1"/>
  <c r="B123" i="45"/>
  <c r="J122" i="43"/>
  <c r="G120" i="51" l="1"/>
  <c r="D121" i="51"/>
  <c r="E121" i="51"/>
  <c r="J124" i="52"/>
  <c r="D126" i="52"/>
  <c r="B126" i="52" s="1"/>
  <c r="G125" i="52"/>
  <c r="E126" i="52"/>
  <c r="J119" i="57"/>
  <c r="G120" i="57"/>
  <c r="D121" i="57"/>
  <c r="E121" i="57"/>
  <c r="H120" i="50"/>
  <c r="I120" i="50"/>
  <c r="E121" i="50"/>
  <c r="F121" i="50" s="1"/>
  <c r="B121" i="50"/>
  <c r="G125" i="39"/>
  <c r="I125" i="39" s="1"/>
  <c r="D126" i="39"/>
  <c r="E126" i="39"/>
  <c r="B136" i="10"/>
  <c r="F136" i="10"/>
  <c r="D134" i="4"/>
  <c r="G133" i="4"/>
  <c r="I133" i="4" s="1"/>
  <c r="E134" i="4"/>
  <c r="G127" i="30"/>
  <c r="I127" i="30" s="1"/>
  <c r="D128" i="30"/>
  <c r="E128" i="30"/>
  <c r="D124" i="42"/>
  <c r="G123" i="42"/>
  <c r="I123" i="42" s="1"/>
  <c r="J123" i="42" s="1"/>
  <c r="E124" i="42"/>
  <c r="D129" i="31"/>
  <c r="G128" i="31"/>
  <c r="I128" i="31" s="1"/>
  <c r="J128" i="31" s="1"/>
  <c r="E129" i="31"/>
  <c r="G131" i="23"/>
  <c r="I131" i="23" s="1"/>
  <c r="D132" i="23"/>
  <c r="E132" i="23"/>
  <c r="D133" i="25"/>
  <c r="G132" i="25"/>
  <c r="I132" i="25" s="1"/>
  <c r="J132" i="25" s="1"/>
  <c r="J155" i="25" s="1"/>
  <c r="E133" i="25"/>
  <c r="H134" i="6"/>
  <c r="G134" i="6"/>
  <c r="I134" i="6" s="1"/>
  <c r="D135" i="6"/>
  <c r="E135" i="6"/>
  <c r="H122" i="46"/>
  <c r="D123" i="46"/>
  <c r="G122" i="46"/>
  <c r="I122" i="46" s="1"/>
  <c r="E123" i="46"/>
  <c r="H135" i="9"/>
  <c r="G135" i="9"/>
  <c r="I135" i="9" s="1"/>
  <c r="D136" i="9"/>
  <c r="E136" i="9"/>
  <c r="D124" i="45"/>
  <c r="G123" i="45"/>
  <c r="I123" i="45" s="1"/>
  <c r="J123" i="45" s="1"/>
  <c r="E124" i="45"/>
  <c r="D133" i="22"/>
  <c r="G132" i="22"/>
  <c r="I132" i="22" s="1"/>
  <c r="E133" i="22"/>
  <c r="H135" i="11"/>
  <c r="D136" i="11"/>
  <c r="G135" i="11"/>
  <c r="I135" i="11" s="1"/>
  <c r="E136" i="11"/>
  <c r="G133" i="3"/>
  <c r="I133" i="3" s="1"/>
  <c r="J133" i="3" s="1"/>
  <c r="D134" i="3"/>
  <c r="E134" i="3" s="1"/>
  <c r="D126" i="37"/>
  <c r="G125" i="37"/>
  <c r="I125" i="37" s="1"/>
  <c r="E126" i="37"/>
  <c r="G124" i="38"/>
  <c r="I124" i="38" s="1"/>
  <c r="J124" i="38" s="1"/>
  <c r="D125" i="38"/>
  <c r="E125" i="38"/>
  <c r="G136" i="7"/>
  <c r="I136" i="7" s="1"/>
  <c r="J136" i="7" s="1"/>
  <c r="D137" i="7"/>
  <c r="E137" i="7"/>
  <c r="H123" i="44"/>
  <c r="G123" i="44"/>
  <c r="I123" i="44" s="1"/>
  <c r="D124" i="44"/>
  <c r="E124" i="44"/>
  <c r="D129" i="28"/>
  <c r="G128" i="28"/>
  <c r="I128" i="28" s="1"/>
  <c r="J128" i="28" s="1"/>
  <c r="E129" i="28"/>
  <c r="H125" i="39"/>
  <c r="G124" i="41"/>
  <c r="I124" i="41" s="1"/>
  <c r="J124" i="41" s="1"/>
  <c r="D125" i="41"/>
  <c r="E125" i="41"/>
  <c r="G134" i="8"/>
  <c r="I134" i="8" s="1"/>
  <c r="J134" i="8" s="1"/>
  <c r="D135" i="8"/>
  <c r="E135" i="8"/>
  <c r="H133" i="5"/>
  <c r="G133" i="5"/>
  <c r="I133" i="5" s="1"/>
  <c r="D134" i="5"/>
  <c r="E134" i="5"/>
  <c r="D124" i="43"/>
  <c r="G123" i="43"/>
  <c r="I123" i="43" s="1"/>
  <c r="J123" i="43" s="1"/>
  <c r="E124" i="43"/>
  <c r="G124" i="40"/>
  <c r="I124" i="40" s="1"/>
  <c r="J124" i="40" s="1"/>
  <c r="D125" i="40"/>
  <c r="E125" i="40"/>
  <c r="H129" i="27"/>
  <c r="D130" i="27"/>
  <c r="G129" i="27"/>
  <c r="I129" i="27" s="1"/>
  <c r="E130" i="27"/>
  <c r="H125" i="37"/>
  <c r="H133" i="4"/>
  <c r="H127" i="30"/>
  <c r="J135" i="10"/>
  <c r="G128" i="29"/>
  <c r="I128" i="29" s="1"/>
  <c r="J128" i="29" s="1"/>
  <c r="D129" i="29"/>
  <c r="E129" i="29"/>
  <c r="H131" i="23"/>
  <c r="D131" i="24"/>
  <c r="G130" i="24"/>
  <c r="I130" i="24" s="1"/>
  <c r="J130" i="24" s="1"/>
  <c r="J155" i="24" s="1"/>
  <c r="E131" i="24"/>
  <c r="B121" i="51" l="1"/>
  <c r="F121" i="51"/>
  <c r="I120" i="51"/>
  <c r="H120" i="51"/>
  <c r="F126" i="52"/>
  <c r="D127" i="52" s="1"/>
  <c r="B127" i="52" s="1"/>
  <c r="H125" i="52"/>
  <c r="I125" i="52"/>
  <c r="B121" i="57"/>
  <c r="F121" i="57"/>
  <c r="H120" i="57"/>
  <c r="I120" i="57"/>
  <c r="J120" i="50"/>
  <c r="D122" i="50"/>
  <c r="G121" i="50"/>
  <c r="J122" i="46"/>
  <c r="J129" i="27"/>
  <c r="J123" i="44"/>
  <c r="B125" i="40"/>
  <c r="F125" i="40"/>
  <c r="F137" i="7"/>
  <c r="B137" i="7"/>
  <c r="B134" i="3"/>
  <c r="F134" i="3"/>
  <c r="H134" i="3" s="1"/>
  <c r="B133" i="22"/>
  <c r="F133" i="22"/>
  <c r="H133" i="22" s="1"/>
  <c r="F129" i="31"/>
  <c r="H129" i="31" s="1"/>
  <c r="B129" i="31"/>
  <c r="J133" i="4"/>
  <c r="B135" i="8"/>
  <c r="F135" i="8"/>
  <c r="F129" i="28"/>
  <c r="B129" i="28"/>
  <c r="B134" i="4"/>
  <c r="F134" i="4"/>
  <c r="H134" i="4" s="1"/>
  <c r="F125" i="38"/>
  <c r="B125" i="38"/>
  <c r="F123" i="46"/>
  <c r="H123" i="46" s="1"/>
  <c r="B123" i="46"/>
  <c r="B133" i="25"/>
  <c r="F133" i="25"/>
  <c r="H133" i="25" s="1"/>
  <c r="H136" i="10"/>
  <c r="G136" i="10"/>
  <c r="I136" i="10" s="1"/>
  <c r="D137" i="10"/>
  <c r="E137" i="10"/>
  <c r="F124" i="43"/>
  <c r="H124" i="43" s="1"/>
  <c r="B124" i="43"/>
  <c r="F124" i="44"/>
  <c r="B124" i="44"/>
  <c r="F124" i="45"/>
  <c r="B124" i="45"/>
  <c r="F124" i="42"/>
  <c r="H124" i="42" s="1"/>
  <c r="B124" i="42"/>
  <c r="B129" i="29"/>
  <c r="F129" i="29"/>
  <c r="F130" i="27"/>
  <c r="B130" i="27"/>
  <c r="F125" i="41"/>
  <c r="H125" i="41" s="1"/>
  <c r="B125" i="41"/>
  <c r="F136" i="11"/>
  <c r="H136" i="11" s="1"/>
  <c r="B136" i="11"/>
  <c r="B132" i="23"/>
  <c r="F132" i="23"/>
  <c r="H132" i="23" s="1"/>
  <c r="B134" i="5"/>
  <c r="F134" i="5"/>
  <c r="H134" i="5" s="1"/>
  <c r="J125" i="37"/>
  <c r="F136" i="9"/>
  <c r="B136" i="9"/>
  <c r="B135" i="6"/>
  <c r="F135" i="6"/>
  <c r="B128" i="30"/>
  <c r="F128" i="30"/>
  <c r="H128" i="30" s="1"/>
  <c r="B126" i="39"/>
  <c r="F126" i="39"/>
  <c r="B131" i="24"/>
  <c r="F131" i="24"/>
  <c r="H131" i="24" s="1"/>
  <c r="J133" i="5"/>
  <c r="F126" i="37"/>
  <c r="B126" i="37"/>
  <c r="J134" i="6"/>
  <c r="J127" i="30"/>
  <c r="J125" i="39"/>
  <c r="J120" i="51" l="1"/>
  <c r="E127" i="52"/>
  <c r="F127" i="52" s="1"/>
  <c r="G127" i="52" s="1"/>
  <c r="H127" i="52" s="1"/>
  <c r="E122" i="51"/>
  <c r="G121" i="51"/>
  <c r="D122" i="51"/>
  <c r="E128" i="52"/>
  <c r="D128" i="52"/>
  <c r="B128" i="52" s="1"/>
  <c r="G126" i="52"/>
  <c r="J125" i="52"/>
  <c r="J120" i="57"/>
  <c r="G121" i="57"/>
  <c r="D122" i="57"/>
  <c r="E122" i="57"/>
  <c r="H121" i="50"/>
  <c r="I121" i="50"/>
  <c r="E122" i="50"/>
  <c r="F122" i="50" s="1"/>
  <c r="B122" i="50"/>
  <c r="J136" i="10"/>
  <c r="G136" i="9"/>
  <c r="I136" i="9" s="1"/>
  <c r="D137" i="9"/>
  <c r="E137" i="9"/>
  <c r="H125" i="38"/>
  <c r="D126" i="38"/>
  <c r="G125" i="38"/>
  <c r="I125" i="38" s="1"/>
  <c r="E126" i="38"/>
  <c r="H126" i="37"/>
  <c r="D127" i="37"/>
  <c r="G126" i="37"/>
  <c r="I126" i="37" s="1"/>
  <c r="E127" i="37"/>
  <c r="H124" i="44"/>
  <c r="G124" i="44"/>
  <c r="I124" i="44" s="1"/>
  <c r="D125" i="44"/>
  <c r="E125" i="44"/>
  <c r="G134" i="3"/>
  <c r="I134" i="3" s="1"/>
  <c r="J134" i="3" s="1"/>
  <c r="D135" i="3"/>
  <c r="E135" i="3" s="1"/>
  <c r="H130" i="27"/>
  <c r="D131" i="27"/>
  <c r="G130" i="27"/>
  <c r="I130" i="27" s="1"/>
  <c r="E131" i="27"/>
  <c r="D129" i="30"/>
  <c r="G128" i="30"/>
  <c r="I128" i="30" s="1"/>
  <c r="J128" i="30" s="1"/>
  <c r="E129" i="30"/>
  <c r="G133" i="25"/>
  <c r="I133" i="25" s="1"/>
  <c r="D134" i="25"/>
  <c r="E134" i="25"/>
  <c r="D135" i="4"/>
  <c r="G134" i="4"/>
  <c r="I134" i="4" s="1"/>
  <c r="J134" i="4" s="1"/>
  <c r="E135" i="4"/>
  <c r="H129" i="29"/>
  <c r="G129" i="29"/>
  <c r="I129" i="29" s="1"/>
  <c r="D130" i="29"/>
  <c r="E130" i="29"/>
  <c r="G134" i="5"/>
  <c r="I134" i="5" s="1"/>
  <c r="J134" i="5" s="1"/>
  <c r="D135" i="5"/>
  <c r="E135" i="5"/>
  <c r="G124" i="43"/>
  <c r="I124" i="43" s="1"/>
  <c r="J124" i="43" s="1"/>
  <c r="D125" i="43"/>
  <c r="E125" i="43"/>
  <c r="G129" i="31"/>
  <c r="I129" i="31" s="1"/>
  <c r="J129" i="31" s="1"/>
  <c r="D130" i="31"/>
  <c r="E130" i="31"/>
  <c r="H137" i="7"/>
  <c r="G137" i="7"/>
  <c r="I137" i="7" s="1"/>
  <c r="D138" i="7"/>
  <c r="E138" i="7"/>
  <c r="G124" i="45"/>
  <c r="I124" i="45" s="1"/>
  <c r="D125" i="45"/>
  <c r="E125" i="45"/>
  <c r="D136" i="8"/>
  <c r="G135" i="8"/>
  <c r="I135" i="8" s="1"/>
  <c r="E136" i="8"/>
  <c r="D137" i="11"/>
  <c r="G136" i="11"/>
  <c r="I136" i="11" s="1"/>
  <c r="E137" i="11"/>
  <c r="G131" i="24"/>
  <c r="I131" i="24" s="1"/>
  <c r="D132" i="24"/>
  <c r="E132" i="24"/>
  <c r="H135" i="6"/>
  <c r="D136" i="6"/>
  <c r="G135" i="6"/>
  <c r="I135" i="6" s="1"/>
  <c r="E136" i="6"/>
  <c r="G125" i="41"/>
  <c r="I125" i="41" s="1"/>
  <c r="J125" i="41" s="1"/>
  <c r="D126" i="41"/>
  <c r="E126" i="41"/>
  <c r="H124" i="45"/>
  <c r="H129" i="28"/>
  <c r="G129" i="28"/>
  <c r="I129" i="28" s="1"/>
  <c r="D130" i="28"/>
  <c r="E130" i="28"/>
  <c r="H125" i="40"/>
  <c r="D126" i="40"/>
  <c r="G125" i="40"/>
  <c r="I125" i="40" s="1"/>
  <c r="E126" i="40"/>
  <c r="D127" i="39"/>
  <c r="G126" i="39"/>
  <c r="I126" i="39" s="1"/>
  <c r="E127" i="39"/>
  <c r="G124" i="42"/>
  <c r="I124" i="42" s="1"/>
  <c r="J124" i="42" s="1"/>
  <c r="D125" i="42"/>
  <c r="E125" i="42"/>
  <c r="H126" i="39"/>
  <c r="H136" i="9"/>
  <c r="G132" i="23"/>
  <c r="I132" i="23" s="1"/>
  <c r="D133" i="23"/>
  <c r="E133" i="23"/>
  <c r="F137" i="10"/>
  <c r="B137" i="10"/>
  <c r="G123" i="46"/>
  <c r="I123" i="46" s="1"/>
  <c r="J123" i="46" s="1"/>
  <c r="D124" i="46"/>
  <c r="E124" i="46"/>
  <c r="H135" i="8"/>
  <c r="D134" i="22"/>
  <c r="G133" i="22"/>
  <c r="I133" i="22" s="1"/>
  <c r="E134" i="22"/>
  <c r="I127" i="52" l="1"/>
  <c r="B122" i="51"/>
  <c r="F122" i="51"/>
  <c r="H121" i="51"/>
  <c r="I121" i="51"/>
  <c r="H126" i="52"/>
  <c r="I126" i="52"/>
  <c r="F128" i="52"/>
  <c r="F122" i="57"/>
  <c r="B122" i="57"/>
  <c r="H121" i="57"/>
  <c r="I121" i="57"/>
  <c r="J127" i="52"/>
  <c r="J121" i="50"/>
  <c r="G122" i="50"/>
  <c r="D123" i="50"/>
  <c r="E123" i="50"/>
  <c r="J124" i="44"/>
  <c r="J125" i="40"/>
  <c r="J135" i="6"/>
  <c r="F137" i="11"/>
  <c r="H137" i="11" s="1"/>
  <c r="B137" i="11"/>
  <c r="B129" i="30"/>
  <c r="F129" i="30"/>
  <c r="H129" i="30" s="1"/>
  <c r="F134" i="22"/>
  <c r="B134" i="22"/>
  <c r="F133" i="23"/>
  <c r="H133" i="23" s="1"/>
  <c r="B133" i="23"/>
  <c r="J126" i="39"/>
  <c r="J129" i="28"/>
  <c r="F136" i="6"/>
  <c r="H136" i="6" s="1"/>
  <c r="B136" i="6"/>
  <c r="J137" i="7"/>
  <c r="F125" i="44"/>
  <c r="H125" i="44" s="1"/>
  <c r="B125" i="44"/>
  <c r="J125" i="38"/>
  <c r="B125" i="43"/>
  <c r="F125" i="43"/>
  <c r="F130" i="28"/>
  <c r="B130" i="28"/>
  <c r="B127" i="39"/>
  <c r="F127" i="39"/>
  <c r="H127" i="39" s="1"/>
  <c r="J135" i="8"/>
  <c r="F135" i="5"/>
  <c r="H135" i="5" s="1"/>
  <c r="B135" i="5"/>
  <c r="B135" i="4"/>
  <c r="F135" i="4"/>
  <c r="J130" i="27"/>
  <c r="B126" i="38"/>
  <c r="F126" i="38"/>
  <c r="B138" i="7"/>
  <c r="F138" i="7"/>
  <c r="F136" i="8"/>
  <c r="B136" i="8"/>
  <c r="F131" i="27"/>
  <c r="B131" i="27"/>
  <c r="F124" i="46"/>
  <c r="B124" i="46"/>
  <c r="F132" i="24"/>
  <c r="B132" i="24"/>
  <c r="B130" i="31"/>
  <c r="F130" i="31"/>
  <c r="H130" i="31" s="1"/>
  <c r="F134" i="25"/>
  <c r="H134" i="25" s="1"/>
  <c r="B134" i="25"/>
  <c r="H137" i="10"/>
  <c r="D138" i="10"/>
  <c r="G137" i="10"/>
  <c r="I137" i="10" s="1"/>
  <c r="E138" i="10"/>
  <c r="F126" i="40"/>
  <c r="H126" i="40" s="1"/>
  <c r="B126" i="40"/>
  <c r="B126" i="41"/>
  <c r="F126" i="41"/>
  <c r="H126" i="41" s="1"/>
  <c r="B125" i="45"/>
  <c r="F125" i="45"/>
  <c r="B130" i="29"/>
  <c r="F130" i="29"/>
  <c r="J126" i="37"/>
  <c r="B137" i="9"/>
  <c r="F137" i="9"/>
  <c r="F125" i="42"/>
  <c r="B125" i="42"/>
  <c r="J124" i="45"/>
  <c r="J129" i="29"/>
  <c r="B135" i="3"/>
  <c r="F135" i="3"/>
  <c r="H135" i="3" s="1"/>
  <c r="F127" i="37"/>
  <c r="B127" i="37"/>
  <c r="J126" i="52" l="1"/>
  <c r="J121" i="51"/>
  <c r="G122" i="51"/>
  <c r="D123" i="51"/>
  <c r="E123" i="51"/>
  <c r="G128" i="52"/>
  <c r="D129" i="52"/>
  <c r="E129" i="52"/>
  <c r="J121" i="57"/>
  <c r="G122" i="57"/>
  <c r="D123" i="57"/>
  <c r="E123" i="57"/>
  <c r="B123" i="50"/>
  <c r="F123" i="50"/>
  <c r="H122" i="50"/>
  <c r="I122" i="50"/>
  <c r="G125" i="42"/>
  <c r="I125" i="42" s="1"/>
  <c r="D126" i="42"/>
  <c r="E126" i="42"/>
  <c r="D137" i="8"/>
  <c r="E137" i="8" s="1"/>
  <c r="G136" i="8"/>
  <c r="I136" i="8" s="1"/>
  <c r="H130" i="28"/>
  <c r="D131" i="28"/>
  <c r="G130" i="28"/>
  <c r="I130" i="28" s="1"/>
  <c r="E131" i="28"/>
  <c r="D136" i="5"/>
  <c r="G135" i="5"/>
  <c r="I135" i="5" s="1"/>
  <c r="J135" i="5" s="1"/>
  <c r="E136" i="5"/>
  <c r="D137" i="6"/>
  <c r="E137" i="6" s="1"/>
  <c r="G136" i="6"/>
  <c r="I136" i="6" s="1"/>
  <c r="J136" i="6" s="1"/>
  <c r="H126" i="38"/>
  <c r="G126" i="38"/>
  <c r="I126" i="38" s="1"/>
  <c r="D127" i="38"/>
  <c r="E127" i="38"/>
  <c r="D130" i="30"/>
  <c r="G129" i="30"/>
  <c r="I129" i="30" s="1"/>
  <c r="J129" i="30" s="1"/>
  <c r="E130" i="30"/>
  <c r="F138" i="10"/>
  <c r="B138" i="10"/>
  <c r="H132" i="24"/>
  <c r="G132" i="24"/>
  <c r="I132" i="24" s="1"/>
  <c r="D133" i="24"/>
  <c r="E133" i="24"/>
  <c r="H125" i="43"/>
  <c r="G125" i="43"/>
  <c r="I125" i="43" s="1"/>
  <c r="D126" i="43"/>
  <c r="E126" i="43"/>
  <c r="H134" i="22"/>
  <c r="D135" i="22"/>
  <c r="G134" i="22"/>
  <c r="I134" i="22" s="1"/>
  <c r="E135" i="22"/>
  <c r="H127" i="37"/>
  <c r="D128" i="37"/>
  <c r="G127" i="37"/>
  <c r="I127" i="37" s="1"/>
  <c r="E128" i="37"/>
  <c r="D127" i="40"/>
  <c r="G126" i="40"/>
  <c r="I126" i="40" s="1"/>
  <c r="J126" i="40" s="1"/>
  <c r="E127" i="40"/>
  <c r="H131" i="27"/>
  <c r="G131" i="27"/>
  <c r="I131" i="27" s="1"/>
  <c r="D132" i="27"/>
  <c r="E132" i="27"/>
  <c r="G127" i="39"/>
  <c r="I127" i="39" s="1"/>
  <c r="J127" i="39" s="1"/>
  <c r="D128" i="39"/>
  <c r="E128" i="39"/>
  <c r="G126" i="41"/>
  <c r="I126" i="41" s="1"/>
  <c r="J126" i="41" s="1"/>
  <c r="D127" i="41"/>
  <c r="E127" i="41"/>
  <c r="H138" i="7"/>
  <c r="D139" i="7"/>
  <c r="G138" i="7"/>
  <c r="I138" i="7" s="1"/>
  <c r="E139" i="7"/>
  <c r="H124" i="46"/>
  <c r="D125" i="46"/>
  <c r="G124" i="46"/>
  <c r="I124" i="46" s="1"/>
  <c r="E125" i="46"/>
  <c r="D135" i="25"/>
  <c r="G134" i="25"/>
  <c r="I134" i="25" s="1"/>
  <c r="E135" i="25"/>
  <c r="H125" i="42"/>
  <c r="H136" i="8"/>
  <c r="G125" i="44"/>
  <c r="I125" i="44" s="1"/>
  <c r="J125" i="44" s="1"/>
  <c r="D126" i="44"/>
  <c r="E126" i="44"/>
  <c r="H137" i="9"/>
  <c r="G137" i="9"/>
  <c r="I137" i="9" s="1"/>
  <c r="D138" i="9"/>
  <c r="E138" i="9"/>
  <c r="G135" i="3"/>
  <c r="I135" i="3" s="1"/>
  <c r="J135" i="3" s="1"/>
  <c r="D136" i="3"/>
  <c r="E136" i="3" s="1"/>
  <c r="H130" i="29"/>
  <c r="D131" i="29"/>
  <c r="G130" i="29"/>
  <c r="I130" i="29" s="1"/>
  <c r="E131" i="29"/>
  <c r="H125" i="45"/>
  <c r="D126" i="45"/>
  <c r="G125" i="45"/>
  <c r="I125" i="45" s="1"/>
  <c r="E126" i="45"/>
  <c r="G130" i="31"/>
  <c r="I130" i="31" s="1"/>
  <c r="J130" i="31" s="1"/>
  <c r="D131" i="31"/>
  <c r="E131" i="31"/>
  <c r="H135" i="4"/>
  <c r="D136" i="4"/>
  <c r="G135" i="4"/>
  <c r="I135" i="4" s="1"/>
  <c r="E136" i="4"/>
  <c r="J137" i="10"/>
  <c r="D134" i="23"/>
  <c r="G133" i="23"/>
  <c r="I133" i="23" s="1"/>
  <c r="E134" i="23"/>
  <c r="G137" i="11"/>
  <c r="I137" i="11" s="1"/>
  <c r="D138" i="11"/>
  <c r="E138" i="11"/>
  <c r="B123" i="51" l="1"/>
  <c r="F123" i="51"/>
  <c r="I122" i="51"/>
  <c r="H122" i="51"/>
  <c r="B129" i="52"/>
  <c r="F129" i="52"/>
  <c r="H128" i="52"/>
  <c r="I128" i="52"/>
  <c r="H122" i="57"/>
  <c r="I122" i="57"/>
  <c r="B123" i="57"/>
  <c r="F123" i="57"/>
  <c r="J122" i="50"/>
  <c r="D124" i="50"/>
  <c r="G123" i="50"/>
  <c r="J126" i="38"/>
  <c r="J125" i="43"/>
  <c r="J131" i="27"/>
  <c r="J135" i="4"/>
  <c r="J136" i="8"/>
  <c r="J125" i="45"/>
  <c r="B128" i="37"/>
  <c r="F128" i="37"/>
  <c r="H128" i="37" s="1"/>
  <c r="F131" i="28"/>
  <c r="H131" i="28" s="1"/>
  <c r="B131" i="28"/>
  <c r="F134" i="23"/>
  <c r="B134" i="23"/>
  <c r="F131" i="29"/>
  <c r="B131" i="29"/>
  <c r="F126" i="44"/>
  <c r="H126" i="44" s="1"/>
  <c r="B126" i="44"/>
  <c r="J124" i="46"/>
  <c r="B127" i="41"/>
  <c r="F127" i="41"/>
  <c r="B137" i="6"/>
  <c r="F137" i="6"/>
  <c r="B131" i="31"/>
  <c r="F131" i="31"/>
  <c r="H131" i="31" s="1"/>
  <c r="B135" i="25"/>
  <c r="F135" i="25"/>
  <c r="F126" i="45"/>
  <c r="H126" i="45" s="1"/>
  <c r="B126" i="45"/>
  <c r="F135" i="22"/>
  <c r="H135" i="22" s="1"/>
  <c r="B135" i="22"/>
  <c r="B137" i="8"/>
  <c r="F137" i="8"/>
  <c r="H137" i="8" s="1"/>
  <c r="B136" i="3"/>
  <c r="F136" i="3"/>
  <c r="H136" i="3" s="1"/>
  <c r="B136" i="4"/>
  <c r="F136" i="4"/>
  <c r="H136" i="4" s="1"/>
  <c r="B128" i="39"/>
  <c r="F128" i="39"/>
  <c r="H128" i="39" s="1"/>
  <c r="B127" i="40"/>
  <c r="F127" i="40"/>
  <c r="H127" i="40" s="1"/>
  <c r="B127" i="38"/>
  <c r="F127" i="38"/>
  <c r="B136" i="5"/>
  <c r="F136" i="5"/>
  <c r="H136" i="5" s="1"/>
  <c r="F132" i="27"/>
  <c r="B132" i="27"/>
  <c r="D139" i="10"/>
  <c r="G138" i="10"/>
  <c r="I138" i="10" s="1"/>
  <c r="E139" i="10"/>
  <c r="F125" i="46"/>
  <c r="H125" i="46" s="1"/>
  <c r="B125" i="46"/>
  <c r="B130" i="30"/>
  <c r="F130" i="30"/>
  <c r="H130" i="30" s="1"/>
  <c r="F138" i="9"/>
  <c r="B138" i="9"/>
  <c r="J138" i="7"/>
  <c r="H138" i="10"/>
  <c r="F126" i="42"/>
  <c r="H126" i="42" s="1"/>
  <c r="B126" i="42"/>
  <c r="F133" i="24"/>
  <c r="B133" i="24"/>
  <c r="F138" i="11"/>
  <c r="H138" i="11" s="1"/>
  <c r="B138" i="11"/>
  <c r="J130" i="29"/>
  <c r="F139" i="7"/>
  <c r="B139" i="7"/>
  <c r="J127" i="37"/>
  <c r="F126" i="43"/>
  <c r="H126" i="43" s="1"/>
  <c r="B126" i="43"/>
  <c r="J130" i="28"/>
  <c r="J125" i="42"/>
  <c r="J128" i="52" l="1"/>
  <c r="J122" i="51"/>
  <c r="G123" i="51"/>
  <c r="D124" i="51"/>
  <c r="E124" i="51"/>
  <c r="G129" i="52"/>
  <c r="E130" i="52"/>
  <c r="D130" i="52"/>
  <c r="J122" i="57"/>
  <c r="G123" i="57"/>
  <c r="D124" i="57"/>
  <c r="E124" i="57"/>
  <c r="H123" i="50"/>
  <c r="I123" i="50"/>
  <c r="E124" i="50"/>
  <c r="F124" i="50" s="1"/>
  <c r="B124" i="50"/>
  <c r="J138" i="10"/>
  <c r="G138" i="9"/>
  <c r="I138" i="9" s="1"/>
  <c r="D139" i="9"/>
  <c r="E139" i="9" s="1"/>
  <c r="D131" i="30"/>
  <c r="G130" i="30"/>
  <c r="I130" i="30" s="1"/>
  <c r="J130" i="30" s="1"/>
  <c r="E131" i="30"/>
  <c r="D128" i="40"/>
  <c r="G127" i="40"/>
  <c r="I127" i="40" s="1"/>
  <c r="J127" i="40" s="1"/>
  <c r="E128" i="40"/>
  <c r="G135" i="22"/>
  <c r="I135" i="22" s="1"/>
  <c r="D136" i="22"/>
  <c r="E136" i="22"/>
  <c r="D132" i="31"/>
  <c r="G131" i="31"/>
  <c r="I131" i="31" s="1"/>
  <c r="J131" i="31" s="1"/>
  <c r="E132" i="31"/>
  <c r="G139" i="7"/>
  <c r="I139" i="7" s="1"/>
  <c r="D140" i="7"/>
  <c r="E140" i="7" s="1"/>
  <c r="F140" i="7" s="1"/>
  <c r="H132" i="27"/>
  <c r="D133" i="27"/>
  <c r="G132" i="27"/>
  <c r="I132" i="27" s="1"/>
  <c r="E133" i="27"/>
  <c r="G136" i="3"/>
  <c r="I136" i="3" s="1"/>
  <c r="J136" i="3" s="1"/>
  <c r="D137" i="3"/>
  <c r="E137" i="3" s="1"/>
  <c r="D127" i="44"/>
  <c r="G126" i="44"/>
  <c r="I126" i="44" s="1"/>
  <c r="J126" i="44" s="1"/>
  <c r="E127" i="44"/>
  <c r="G131" i="28"/>
  <c r="I131" i="28" s="1"/>
  <c r="J131" i="28" s="1"/>
  <c r="D132" i="28"/>
  <c r="E132" i="28"/>
  <c r="G133" i="24"/>
  <c r="I133" i="24" s="1"/>
  <c r="D134" i="24"/>
  <c r="E134" i="24"/>
  <c r="G136" i="4"/>
  <c r="I136" i="4" s="1"/>
  <c r="J136" i="4" s="1"/>
  <c r="D137" i="4"/>
  <c r="E137" i="4" s="1"/>
  <c r="D135" i="23"/>
  <c r="G134" i="23"/>
  <c r="I134" i="23" s="1"/>
  <c r="E135" i="23"/>
  <c r="G126" i="42"/>
  <c r="I126" i="42" s="1"/>
  <c r="J126" i="42" s="1"/>
  <c r="D127" i="42"/>
  <c r="E127" i="42"/>
  <c r="G136" i="5"/>
  <c r="I136" i="5" s="1"/>
  <c r="J136" i="5" s="1"/>
  <c r="D137" i="5"/>
  <c r="E137" i="5" s="1"/>
  <c r="H137" i="6"/>
  <c r="G137" i="6"/>
  <c r="I137" i="6" s="1"/>
  <c r="D138" i="6"/>
  <c r="E138" i="6" s="1"/>
  <c r="D128" i="38"/>
  <c r="G127" i="38"/>
  <c r="I127" i="38" s="1"/>
  <c r="E128" i="38"/>
  <c r="H133" i="24"/>
  <c r="H138" i="9"/>
  <c r="D126" i="46"/>
  <c r="G125" i="46"/>
  <c r="I125" i="46" s="1"/>
  <c r="J125" i="46" s="1"/>
  <c r="E126" i="46"/>
  <c r="D129" i="39"/>
  <c r="G128" i="39"/>
  <c r="I128" i="39" s="1"/>
  <c r="J128" i="39" s="1"/>
  <c r="E129" i="39"/>
  <c r="D127" i="45"/>
  <c r="G126" i="45"/>
  <c r="I126" i="45" s="1"/>
  <c r="J126" i="45" s="1"/>
  <c r="E127" i="45"/>
  <c r="H131" i="29"/>
  <c r="G131" i="29"/>
  <c r="I131" i="29" s="1"/>
  <c r="D132" i="29"/>
  <c r="E132" i="29"/>
  <c r="G128" i="37"/>
  <c r="I128" i="37" s="1"/>
  <c r="J128" i="37" s="1"/>
  <c r="D129" i="37"/>
  <c r="E129" i="37"/>
  <c r="D136" i="25"/>
  <c r="G135" i="25"/>
  <c r="I135" i="25" s="1"/>
  <c r="E136" i="25"/>
  <c r="F139" i="10"/>
  <c r="B139" i="10"/>
  <c r="D127" i="43"/>
  <c r="G126" i="43"/>
  <c r="I126" i="43" s="1"/>
  <c r="J126" i="43" s="1"/>
  <c r="E127" i="43"/>
  <c r="G138" i="11"/>
  <c r="I138" i="11" s="1"/>
  <c r="D139" i="11"/>
  <c r="E139" i="11" s="1"/>
  <c r="H139" i="7"/>
  <c r="H127" i="38"/>
  <c r="G137" i="8"/>
  <c r="I137" i="8" s="1"/>
  <c r="J137" i="8" s="1"/>
  <c r="D138" i="8"/>
  <c r="E138" i="8"/>
  <c r="H135" i="25"/>
  <c r="H127" i="41"/>
  <c r="G127" i="41"/>
  <c r="I127" i="41" s="1"/>
  <c r="D128" i="41"/>
  <c r="E128" i="41"/>
  <c r="H134" i="23"/>
  <c r="B124" i="51" l="1"/>
  <c r="F124" i="51"/>
  <c r="I123" i="51"/>
  <c r="H123" i="51"/>
  <c r="B130" i="52"/>
  <c r="F130" i="52"/>
  <c r="H129" i="52"/>
  <c r="I129" i="52"/>
  <c r="H123" i="57"/>
  <c r="I123" i="57"/>
  <c r="F124" i="57"/>
  <c r="B124" i="57"/>
  <c r="J123" i="50"/>
  <c r="D125" i="50"/>
  <c r="G124" i="50"/>
  <c r="J132" i="27"/>
  <c r="J131" i="29"/>
  <c r="J127" i="41"/>
  <c r="J137" i="6"/>
  <c r="F136" i="25"/>
  <c r="B136" i="25"/>
  <c r="F126" i="46"/>
  <c r="B126" i="46"/>
  <c r="B137" i="3"/>
  <c r="F137" i="3"/>
  <c r="H137" i="3" s="1"/>
  <c r="J139" i="7"/>
  <c r="B128" i="40"/>
  <c r="F128" i="40"/>
  <c r="H128" i="40" s="1"/>
  <c r="B138" i="8"/>
  <c r="F138" i="8"/>
  <c r="H138" i="8" s="1"/>
  <c r="F129" i="37"/>
  <c r="B129" i="37"/>
  <c r="F127" i="45"/>
  <c r="H127" i="45" s="1"/>
  <c r="B127" i="45"/>
  <c r="F135" i="23"/>
  <c r="H135" i="23" s="1"/>
  <c r="B135" i="23"/>
  <c r="B132" i="28"/>
  <c r="F132" i="28"/>
  <c r="J127" i="38"/>
  <c r="B137" i="4"/>
  <c r="F137" i="4"/>
  <c r="H137" i="4" s="1"/>
  <c r="B133" i="27"/>
  <c r="F133" i="27"/>
  <c r="H133" i="27" s="1"/>
  <c r="F131" i="30"/>
  <c r="H131" i="30" s="1"/>
  <c r="B131" i="30"/>
  <c r="F137" i="5"/>
  <c r="B137" i="5"/>
  <c r="F132" i="31"/>
  <c r="B132" i="31"/>
  <c r="F128" i="41"/>
  <c r="B128" i="41"/>
  <c r="H139" i="10"/>
  <c r="D140" i="10"/>
  <c r="E140" i="10" s="1"/>
  <c r="G139" i="10"/>
  <c r="I139" i="10" s="1"/>
  <c r="B132" i="29"/>
  <c r="F132" i="29"/>
  <c r="B129" i="39"/>
  <c r="F129" i="39"/>
  <c r="F128" i="38"/>
  <c r="B128" i="38"/>
  <c r="F136" i="22"/>
  <c r="H136" i="22" s="1"/>
  <c r="B136" i="22"/>
  <c r="B127" i="44"/>
  <c r="F127" i="44"/>
  <c r="H127" i="44" s="1"/>
  <c r="D141" i="7"/>
  <c r="E141" i="7" s="1"/>
  <c r="F141" i="7" s="1"/>
  <c r="G140" i="7"/>
  <c r="I140" i="7" s="1"/>
  <c r="F139" i="9"/>
  <c r="B139" i="9"/>
  <c r="B127" i="43"/>
  <c r="F127" i="43"/>
  <c r="H127" i="43" s="1"/>
  <c r="F127" i="42"/>
  <c r="B127" i="42"/>
  <c r="F139" i="11"/>
  <c r="B139" i="11"/>
  <c r="F138" i="6"/>
  <c r="B138" i="6"/>
  <c r="B134" i="24"/>
  <c r="F134" i="24"/>
  <c r="H134" i="24" s="1"/>
  <c r="B140" i="7"/>
  <c r="H140" i="7"/>
  <c r="J123" i="57" l="1"/>
  <c r="J129" i="52"/>
  <c r="J123" i="51"/>
  <c r="D125" i="51"/>
  <c r="G124" i="51"/>
  <c r="E125" i="51"/>
  <c r="G130" i="52"/>
  <c r="D131" i="52"/>
  <c r="E131" i="52"/>
  <c r="G124" i="57"/>
  <c r="D125" i="57"/>
  <c r="E125" i="57"/>
  <c r="H124" i="50"/>
  <c r="I124" i="50"/>
  <c r="E125" i="50"/>
  <c r="F125" i="50" s="1"/>
  <c r="B125" i="50"/>
  <c r="J140" i="7"/>
  <c r="J139" i="10"/>
  <c r="H132" i="29"/>
  <c r="G132" i="29"/>
  <c r="I132" i="29" s="1"/>
  <c r="D133" i="29"/>
  <c r="E133" i="29"/>
  <c r="H139" i="9"/>
  <c r="G139" i="9"/>
  <c r="I139" i="9" s="1"/>
  <c r="D140" i="9"/>
  <c r="E140" i="9" s="1"/>
  <c r="F140" i="9" s="1"/>
  <c r="H132" i="31"/>
  <c r="G132" i="31"/>
  <c r="I132" i="31" s="1"/>
  <c r="D133" i="31"/>
  <c r="E133" i="31"/>
  <c r="G137" i="3"/>
  <c r="I137" i="3" s="1"/>
  <c r="J137" i="3" s="1"/>
  <c r="D138" i="3"/>
  <c r="E138" i="3" s="1"/>
  <c r="H139" i="11"/>
  <c r="D140" i="11"/>
  <c r="G139" i="11"/>
  <c r="I139" i="11" s="1"/>
  <c r="G141" i="7"/>
  <c r="I141" i="7" s="1"/>
  <c r="D142" i="7"/>
  <c r="B142" i="7" s="1"/>
  <c r="D137" i="22"/>
  <c r="G136" i="22"/>
  <c r="I136" i="22" s="1"/>
  <c r="E137" i="22"/>
  <c r="D136" i="23"/>
  <c r="E136" i="23" s="1"/>
  <c r="G135" i="23"/>
  <c r="I135" i="23" s="1"/>
  <c r="G138" i="8"/>
  <c r="I138" i="8" s="1"/>
  <c r="J138" i="8" s="1"/>
  <c r="D139" i="8"/>
  <c r="E139" i="8" s="1"/>
  <c r="G128" i="41"/>
  <c r="I128" i="41" s="1"/>
  <c r="D129" i="41"/>
  <c r="E129" i="41"/>
  <c r="G133" i="27"/>
  <c r="I133" i="27" s="1"/>
  <c r="J133" i="27" s="1"/>
  <c r="D134" i="27"/>
  <c r="E134" i="27"/>
  <c r="G129" i="37"/>
  <c r="I129" i="37" s="1"/>
  <c r="D130" i="37"/>
  <c r="E130" i="37"/>
  <c r="H137" i="5"/>
  <c r="G137" i="5"/>
  <c r="I137" i="5" s="1"/>
  <c r="D138" i="5"/>
  <c r="E138" i="5" s="1"/>
  <c r="D138" i="4"/>
  <c r="E138" i="4" s="1"/>
  <c r="G137" i="4"/>
  <c r="I137" i="4" s="1"/>
  <c r="J137" i="4" s="1"/>
  <c r="D135" i="24"/>
  <c r="G134" i="24"/>
  <c r="I134" i="24" s="1"/>
  <c r="E135" i="24"/>
  <c r="H127" i="42"/>
  <c r="D128" i="42"/>
  <c r="G127" i="42"/>
  <c r="I127" i="42" s="1"/>
  <c r="E128" i="42"/>
  <c r="B141" i="7"/>
  <c r="H141" i="7"/>
  <c r="H128" i="38"/>
  <c r="G128" i="38"/>
  <c r="I128" i="38" s="1"/>
  <c r="D129" i="38"/>
  <c r="E129" i="38"/>
  <c r="H126" i="46"/>
  <c r="G126" i="46"/>
  <c r="I126" i="46" s="1"/>
  <c r="D127" i="46"/>
  <c r="E127" i="46"/>
  <c r="G138" i="6"/>
  <c r="I138" i="6" s="1"/>
  <c r="D139" i="6"/>
  <c r="E139" i="6" s="1"/>
  <c r="F140" i="10"/>
  <c r="B140" i="10"/>
  <c r="H129" i="39"/>
  <c r="G129" i="39"/>
  <c r="I129" i="39" s="1"/>
  <c r="D130" i="39"/>
  <c r="E130" i="39"/>
  <c r="H128" i="41"/>
  <c r="D128" i="45"/>
  <c r="G127" i="45"/>
  <c r="I127" i="45" s="1"/>
  <c r="J127" i="45" s="1"/>
  <c r="E128" i="45"/>
  <c r="G128" i="40"/>
  <c r="I128" i="40" s="1"/>
  <c r="J128" i="40" s="1"/>
  <c r="D129" i="40"/>
  <c r="E129" i="40"/>
  <c r="H138" i="6"/>
  <c r="D128" i="43"/>
  <c r="G127" i="43"/>
  <c r="I127" i="43" s="1"/>
  <c r="J127" i="43" s="1"/>
  <c r="E128" i="43"/>
  <c r="G127" i="44"/>
  <c r="I127" i="44" s="1"/>
  <c r="J127" i="44" s="1"/>
  <c r="D128" i="44"/>
  <c r="E128" i="44"/>
  <c r="D132" i="30"/>
  <c r="G131" i="30"/>
  <c r="I131" i="30" s="1"/>
  <c r="J131" i="30" s="1"/>
  <c r="E132" i="30"/>
  <c r="H132" i="28"/>
  <c r="D133" i="28"/>
  <c r="G132" i="28"/>
  <c r="I132" i="28" s="1"/>
  <c r="E133" i="28"/>
  <c r="H129" i="37"/>
  <c r="H136" i="25"/>
  <c r="D137" i="25"/>
  <c r="G136" i="25"/>
  <c r="I136" i="25" s="1"/>
  <c r="E137" i="25"/>
  <c r="H124" i="51" l="1"/>
  <c r="I124" i="51"/>
  <c r="B125" i="51"/>
  <c r="F125" i="51"/>
  <c r="B131" i="52"/>
  <c r="F131" i="52"/>
  <c r="H130" i="52"/>
  <c r="I130" i="52"/>
  <c r="B125" i="57"/>
  <c r="F125" i="57"/>
  <c r="H124" i="57"/>
  <c r="I124" i="57"/>
  <c r="J124" i="50"/>
  <c r="G125" i="50"/>
  <c r="D126" i="50"/>
  <c r="J132" i="29"/>
  <c r="J132" i="31"/>
  <c r="J132" i="28"/>
  <c r="J128" i="41"/>
  <c r="E142" i="7"/>
  <c r="F142" i="7" s="1"/>
  <c r="G142" i="7" s="1"/>
  <c r="I142" i="7" s="1"/>
  <c r="J129" i="39"/>
  <c r="J127" i="42"/>
  <c r="J138" i="6"/>
  <c r="F135" i="24"/>
  <c r="H135" i="24" s="1"/>
  <c r="B135" i="24"/>
  <c r="B129" i="40"/>
  <c r="F129" i="40"/>
  <c r="H129" i="40" s="1"/>
  <c r="F127" i="46"/>
  <c r="B127" i="46"/>
  <c r="F130" i="37"/>
  <c r="H130" i="37" s="1"/>
  <c r="B130" i="37"/>
  <c r="F137" i="22"/>
  <c r="H137" i="22" s="1"/>
  <c r="B137" i="22"/>
  <c r="B138" i="3"/>
  <c r="F138" i="3"/>
  <c r="B137" i="25"/>
  <c r="F137" i="25"/>
  <c r="H137" i="25" s="1"/>
  <c r="F129" i="41"/>
  <c r="B129" i="41"/>
  <c r="B140" i="9"/>
  <c r="H140" i="9"/>
  <c r="B128" i="44"/>
  <c r="F128" i="44"/>
  <c r="H128" i="44" s="1"/>
  <c r="J126" i="46"/>
  <c r="J129" i="37"/>
  <c r="B139" i="8"/>
  <c r="F139" i="8"/>
  <c r="H139" i="8" s="1"/>
  <c r="F130" i="39"/>
  <c r="H130" i="39" s="1"/>
  <c r="B130" i="39"/>
  <c r="F138" i="4"/>
  <c r="B138" i="4"/>
  <c r="F132" i="30"/>
  <c r="H132" i="30" s="1"/>
  <c r="B132" i="30"/>
  <c r="F128" i="42"/>
  <c r="H128" i="42" s="1"/>
  <c r="B128" i="42"/>
  <c r="J141" i="7"/>
  <c r="B133" i="31"/>
  <c r="F133" i="31"/>
  <c r="F133" i="29"/>
  <c r="B133" i="29"/>
  <c r="F133" i="28"/>
  <c r="H133" i="28" s="1"/>
  <c r="B133" i="28"/>
  <c r="H140" i="10"/>
  <c r="D141" i="10"/>
  <c r="E141" i="10" s="1"/>
  <c r="F141" i="10" s="1"/>
  <c r="G140" i="10"/>
  <c r="I140" i="10" s="1"/>
  <c r="B134" i="27"/>
  <c r="F134" i="27"/>
  <c r="B128" i="45"/>
  <c r="F128" i="45"/>
  <c r="H128" i="45" s="1"/>
  <c r="B129" i="38"/>
  <c r="F129" i="38"/>
  <c r="B138" i="5"/>
  <c r="F138" i="5"/>
  <c r="D141" i="9"/>
  <c r="E141" i="9" s="1"/>
  <c r="F141" i="9" s="1"/>
  <c r="G140" i="9"/>
  <c r="I140" i="9" s="1"/>
  <c r="F128" i="43"/>
  <c r="B128" i="43"/>
  <c r="B139" i="6"/>
  <c r="F139" i="6"/>
  <c r="H139" i="6" s="1"/>
  <c r="J128" i="38"/>
  <c r="J137" i="5"/>
  <c r="B136" i="23"/>
  <c r="F136" i="23"/>
  <c r="E140" i="11"/>
  <c r="F140" i="11" s="1"/>
  <c r="H140" i="11" s="1"/>
  <c r="B140" i="11"/>
  <c r="J130" i="52" l="1"/>
  <c r="J155" i="52" s="1"/>
  <c r="J124" i="51"/>
  <c r="J124" i="57"/>
  <c r="G125" i="51"/>
  <c r="E126" i="51"/>
  <c r="D126" i="51"/>
  <c r="G131" i="52"/>
  <c r="D132" i="52"/>
  <c r="E132" i="52"/>
  <c r="D126" i="57"/>
  <c r="G125" i="57"/>
  <c r="E126" i="57"/>
  <c r="E126" i="50"/>
  <c r="F126" i="50" s="1"/>
  <c r="B126" i="50"/>
  <c r="H125" i="50"/>
  <c r="I125" i="50"/>
  <c r="D143" i="7"/>
  <c r="B143" i="7" s="1"/>
  <c r="H142" i="7"/>
  <c r="J142" i="7" s="1"/>
  <c r="D142" i="10"/>
  <c r="G141" i="10"/>
  <c r="I141" i="10" s="1"/>
  <c r="H138" i="4"/>
  <c r="G138" i="4"/>
  <c r="I138" i="4" s="1"/>
  <c r="D139" i="4"/>
  <c r="D128" i="46"/>
  <c r="G127" i="46"/>
  <c r="I127" i="46" s="1"/>
  <c r="E128" i="46"/>
  <c r="H136" i="23"/>
  <c r="D137" i="23"/>
  <c r="G136" i="23"/>
  <c r="I136" i="23" s="1"/>
  <c r="E137" i="23"/>
  <c r="G141" i="9"/>
  <c r="I141" i="9" s="1"/>
  <c r="D142" i="9"/>
  <c r="B142" i="9" s="1"/>
  <c r="B141" i="9"/>
  <c r="H141" i="9"/>
  <c r="H134" i="27"/>
  <c r="D135" i="27"/>
  <c r="G134" i="27"/>
  <c r="I134" i="27" s="1"/>
  <c r="E135" i="27"/>
  <c r="D134" i="28"/>
  <c r="G133" i="28"/>
  <c r="I133" i="28" s="1"/>
  <c r="J133" i="28" s="1"/>
  <c r="E134" i="28"/>
  <c r="G128" i="42"/>
  <c r="I128" i="42" s="1"/>
  <c r="J128" i="42" s="1"/>
  <c r="D129" i="42"/>
  <c r="E129" i="42"/>
  <c r="G130" i="39"/>
  <c r="I130" i="39" s="1"/>
  <c r="J130" i="39" s="1"/>
  <c r="J155" i="39" s="1"/>
  <c r="D131" i="39"/>
  <c r="E131" i="39"/>
  <c r="H129" i="41"/>
  <c r="D130" i="41"/>
  <c r="G129" i="41"/>
  <c r="I129" i="41" s="1"/>
  <c r="E130" i="41"/>
  <c r="D138" i="22"/>
  <c r="G137" i="22"/>
  <c r="I137" i="22" s="1"/>
  <c r="E138" i="22"/>
  <c r="D130" i="40"/>
  <c r="G129" i="40"/>
  <c r="I129" i="40" s="1"/>
  <c r="J129" i="40" s="1"/>
  <c r="E130" i="40"/>
  <c r="H128" i="43"/>
  <c r="D129" i="43"/>
  <c r="G128" i="43"/>
  <c r="I128" i="43" s="1"/>
  <c r="E129" i="43"/>
  <c r="D129" i="45"/>
  <c r="G128" i="45"/>
  <c r="I128" i="45" s="1"/>
  <c r="J128" i="45" s="1"/>
  <c r="E129" i="45"/>
  <c r="H138" i="5"/>
  <c r="G138" i="5"/>
  <c r="I138" i="5" s="1"/>
  <c r="D139" i="5"/>
  <c r="E139" i="5" s="1"/>
  <c r="D140" i="6"/>
  <c r="G139" i="6"/>
  <c r="I139" i="6" s="1"/>
  <c r="J139" i="6" s="1"/>
  <c r="H133" i="29"/>
  <c r="D134" i="29"/>
  <c r="G133" i="29"/>
  <c r="I133" i="29" s="1"/>
  <c r="E134" i="29"/>
  <c r="G137" i="25"/>
  <c r="I137" i="25" s="1"/>
  <c r="D138" i="25"/>
  <c r="E138" i="25"/>
  <c r="H129" i="38"/>
  <c r="D130" i="38"/>
  <c r="G129" i="38"/>
  <c r="I129" i="38" s="1"/>
  <c r="E130" i="38"/>
  <c r="J140" i="10"/>
  <c r="H133" i="31"/>
  <c r="G133" i="31"/>
  <c r="I133" i="31" s="1"/>
  <c r="D134" i="31"/>
  <c r="E134" i="31"/>
  <c r="G132" i="30"/>
  <c r="I132" i="30" s="1"/>
  <c r="J132" i="30" s="1"/>
  <c r="D133" i="30"/>
  <c r="E133" i="30"/>
  <c r="G128" i="44"/>
  <c r="I128" i="44" s="1"/>
  <c r="J128" i="44" s="1"/>
  <c r="D129" i="44"/>
  <c r="E129" i="44"/>
  <c r="G130" i="37"/>
  <c r="I130" i="37" s="1"/>
  <c r="J130" i="37" s="1"/>
  <c r="J155" i="37" s="1"/>
  <c r="D131" i="37"/>
  <c r="E131" i="37"/>
  <c r="D140" i="8"/>
  <c r="G139" i="8"/>
  <c r="I139" i="8" s="1"/>
  <c r="J139" i="8" s="1"/>
  <c r="D141" i="11"/>
  <c r="B141" i="11" s="1"/>
  <c r="G140" i="11"/>
  <c r="I140" i="11" s="1"/>
  <c r="B141" i="10"/>
  <c r="H141" i="10"/>
  <c r="H138" i="3"/>
  <c r="D139" i="3"/>
  <c r="E139" i="3" s="1"/>
  <c r="G138" i="3"/>
  <c r="I138" i="3" s="1"/>
  <c r="H127" i="46"/>
  <c r="D136" i="24"/>
  <c r="E136" i="24" s="1"/>
  <c r="G135" i="24"/>
  <c r="I135" i="24" s="1"/>
  <c r="B126" i="51" l="1"/>
  <c r="F126" i="51"/>
  <c r="H125" i="51"/>
  <c r="I125" i="51"/>
  <c r="B132" i="52"/>
  <c r="F132" i="52"/>
  <c r="H131" i="52"/>
  <c r="I131" i="52"/>
  <c r="H125" i="57"/>
  <c r="I125" i="57"/>
  <c r="B126" i="57"/>
  <c r="F126" i="57"/>
  <c r="J125" i="50"/>
  <c r="D127" i="50"/>
  <c r="G126" i="50"/>
  <c r="E143" i="7"/>
  <c r="F143" i="7" s="1"/>
  <c r="J133" i="29"/>
  <c r="J128" i="43"/>
  <c r="E141" i="11"/>
  <c r="F141" i="11" s="1"/>
  <c r="H141" i="11" s="1"/>
  <c r="J138" i="3"/>
  <c r="J133" i="31"/>
  <c r="J134" i="27"/>
  <c r="J138" i="4"/>
  <c r="J129" i="38"/>
  <c r="B140" i="6"/>
  <c r="B130" i="41"/>
  <c r="F130" i="41"/>
  <c r="H130" i="41" s="1"/>
  <c r="F129" i="44"/>
  <c r="H129" i="44" s="1"/>
  <c r="B129" i="44"/>
  <c r="E142" i="9"/>
  <c r="F142" i="9" s="1"/>
  <c r="J127" i="46"/>
  <c r="F138" i="25"/>
  <c r="B138" i="25"/>
  <c r="B130" i="40"/>
  <c r="F130" i="40"/>
  <c r="H130" i="40" s="1"/>
  <c r="B134" i="28"/>
  <c r="F134" i="28"/>
  <c r="H134" i="28" s="1"/>
  <c r="F128" i="46"/>
  <c r="B128" i="46"/>
  <c r="F139" i="3"/>
  <c r="H139" i="3" s="1"/>
  <c r="B139" i="3"/>
  <c r="E140" i="8"/>
  <c r="F140" i="8" s="1"/>
  <c r="H140" i="8" s="1"/>
  <c r="B140" i="8"/>
  <c r="F133" i="30"/>
  <c r="H133" i="30" s="1"/>
  <c r="B133" i="30"/>
  <c r="B134" i="29"/>
  <c r="F134" i="29"/>
  <c r="F136" i="24"/>
  <c r="H136" i="24" s="1"/>
  <c r="B136" i="24"/>
  <c r="B130" i="38"/>
  <c r="F130" i="38"/>
  <c r="H130" i="38" s="1"/>
  <c r="B138" i="22"/>
  <c r="F138" i="22"/>
  <c r="H138" i="22" s="1"/>
  <c r="F135" i="27"/>
  <c r="B135" i="27"/>
  <c r="B129" i="45"/>
  <c r="F129" i="45"/>
  <c r="H129" i="45" s="1"/>
  <c r="F131" i="39"/>
  <c r="B131" i="39"/>
  <c r="E139" i="4"/>
  <c r="F139" i="4" s="1"/>
  <c r="H139" i="4" s="1"/>
  <c r="B139" i="4"/>
  <c r="F131" i="37"/>
  <c r="H131" i="37" s="1"/>
  <c r="B131" i="37"/>
  <c r="E140" i="6"/>
  <c r="F140" i="6" s="1"/>
  <c r="B139" i="5"/>
  <c r="F139" i="5"/>
  <c r="H139" i="5" s="1"/>
  <c r="B129" i="43"/>
  <c r="F129" i="43"/>
  <c r="H129" i="43" s="1"/>
  <c r="B129" i="42"/>
  <c r="F129" i="42"/>
  <c r="H129" i="42" s="1"/>
  <c r="F137" i="23"/>
  <c r="B137" i="23"/>
  <c r="J141" i="10"/>
  <c r="B134" i="31"/>
  <c r="F134" i="31"/>
  <c r="H134" i="31" s="1"/>
  <c r="J138" i="5"/>
  <c r="J129" i="41"/>
  <c r="E142" i="10"/>
  <c r="F142" i="10" s="1"/>
  <c r="B142" i="10"/>
  <c r="J125" i="51" l="1"/>
  <c r="G126" i="51"/>
  <c r="D127" i="51"/>
  <c r="E127" i="51"/>
  <c r="D133" i="52"/>
  <c r="G132" i="52"/>
  <c r="E133" i="52"/>
  <c r="J125" i="57"/>
  <c r="G126" i="57"/>
  <c r="D127" i="57"/>
  <c r="E127" i="57"/>
  <c r="H126" i="50"/>
  <c r="I126" i="50"/>
  <c r="E127" i="50"/>
  <c r="F127" i="50" s="1"/>
  <c r="B127" i="50"/>
  <c r="G141" i="11"/>
  <c r="I141" i="11" s="1"/>
  <c r="D142" i="11"/>
  <c r="E142" i="11" s="1"/>
  <c r="F142" i="11" s="1"/>
  <c r="G142" i="11" s="1"/>
  <c r="I142" i="11" s="1"/>
  <c r="G143" i="7"/>
  <c r="I143" i="7" s="1"/>
  <c r="D144" i="7"/>
  <c r="H143" i="7"/>
  <c r="G135" i="27"/>
  <c r="I135" i="27" s="1"/>
  <c r="D136" i="27"/>
  <c r="E136" i="27" s="1"/>
  <c r="D137" i="24"/>
  <c r="E137" i="24" s="1"/>
  <c r="G136" i="24"/>
  <c r="I136" i="24" s="1"/>
  <c r="G140" i="8"/>
  <c r="I140" i="8" s="1"/>
  <c r="J140" i="8" s="1"/>
  <c r="D141" i="8"/>
  <c r="B141" i="8" s="1"/>
  <c r="G134" i="28"/>
  <c r="I134" i="28" s="1"/>
  <c r="J134" i="28" s="1"/>
  <c r="D135" i="28"/>
  <c r="E135" i="28" s="1"/>
  <c r="D130" i="44"/>
  <c r="G129" i="44"/>
  <c r="I129" i="44" s="1"/>
  <c r="J129" i="44" s="1"/>
  <c r="E130" i="44"/>
  <c r="G139" i="5"/>
  <c r="I139" i="5" s="1"/>
  <c r="J139" i="5" s="1"/>
  <c r="D140" i="5"/>
  <c r="B140" i="5" s="1"/>
  <c r="G129" i="42"/>
  <c r="I129" i="42" s="1"/>
  <c r="J129" i="42" s="1"/>
  <c r="D130" i="42"/>
  <c r="E130" i="42"/>
  <c r="D141" i="6"/>
  <c r="E141" i="6" s="1"/>
  <c r="F141" i="6" s="1"/>
  <c r="G140" i="6"/>
  <c r="I140" i="6" s="1"/>
  <c r="H131" i="39"/>
  <c r="G131" i="39"/>
  <c r="I131" i="39" s="1"/>
  <c r="D132" i="39"/>
  <c r="E132" i="39"/>
  <c r="G138" i="22"/>
  <c r="I138" i="22" s="1"/>
  <c r="D139" i="22"/>
  <c r="E139" i="22" s="1"/>
  <c r="F139" i="22" s="1"/>
  <c r="H134" i="29"/>
  <c r="G134" i="29"/>
  <c r="I134" i="29" s="1"/>
  <c r="D135" i="29"/>
  <c r="E135" i="29"/>
  <c r="D140" i="4"/>
  <c r="B140" i="4" s="1"/>
  <c r="G139" i="4"/>
  <c r="I139" i="4" s="1"/>
  <c r="J139" i="4" s="1"/>
  <c r="D135" i="31"/>
  <c r="G134" i="31"/>
  <c r="I134" i="31" s="1"/>
  <c r="J134" i="31" s="1"/>
  <c r="E135" i="31"/>
  <c r="G130" i="41"/>
  <c r="I130" i="41" s="1"/>
  <c r="J130" i="41" s="1"/>
  <c r="J155" i="41" s="1"/>
  <c r="D131" i="41"/>
  <c r="E131" i="41"/>
  <c r="D143" i="10"/>
  <c r="G142" i="10"/>
  <c r="I142" i="10" s="1"/>
  <c r="G128" i="46"/>
  <c r="I128" i="46" s="1"/>
  <c r="D129" i="46"/>
  <c r="E129" i="46"/>
  <c r="G139" i="3"/>
  <c r="I139" i="3" s="1"/>
  <c r="J139" i="3" s="1"/>
  <c r="D140" i="3"/>
  <c r="B140" i="3" s="1"/>
  <c r="D131" i="40"/>
  <c r="G130" i="40"/>
  <c r="I130" i="40" s="1"/>
  <c r="J130" i="40" s="1"/>
  <c r="J155" i="40" s="1"/>
  <c r="E131" i="40"/>
  <c r="D138" i="23"/>
  <c r="E138" i="23" s="1"/>
  <c r="G137" i="23"/>
  <c r="I137" i="23" s="1"/>
  <c r="G129" i="45"/>
  <c r="I129" i="45" s="1"/>
  <c r="J129" i="45" s="1"/>
  <c r="D130" i="45"/>
  <c r="E130" i="45"/>
  <c r="H142" i="10"/>
  <c r="D130" i="43"/>
  <c r="G129" i="43"/>
  <c r="I129" i="43" s="1"/>
  <c r="J129" i="43" s="1"/>
  <c r="E130" i="43"/>
  <c r="G131" i="37"/>
  <c r="I131" i="37" s="1"/>
  <c r="D132" i="37"/>
  <c r="E132" i="37"/>
  <c r="G130" i="38"/>
  <c r="I130" i="38" s="1"/>
  <c r="J130" i="38" s="1"/>
  <c r="J155" i="38" s="1"/>
  <c r="D131" i="38"/>
  <c r="E131" i="38"/>
  <c r="H128" i="46"/>
  <c r="H142" i="9"/>
  <c r="G142" i="9"/>
  <c r="I142" i="9" s="1"/>
  <c r="D143" i="9"/>
  <c r="E143" i="9" s="1"/>
  <c r="F143" i="9" s="1"/>
  <c r="H140" i="6"/>
  <c r="H138" i="25"/>
  <c r="G138" i="25"/>
  <c r="I138" i="25" s="1"/>
  <c r="D139" i="25"/>
  <c r="E139" i="25" s="1"/>
  <c r="H137" i="23"/>
  <c r="H135" i="27"/>
  <c r="D134" i="30"/>
  <c r="G133" i="30"/>
  <c r="I133" i="30" s="1"/>
  <c r="J133" i="30" s="1"/>
  <c r="E134" i="30"/>
  <c r="B127" i="51" l="1"/>
  <c r="F127" i="51"/>
  <c r="I126" i="51"/>
  <c r="H126" i="51"/>
  <c r="H132" i="52"/>
  <c r="I132" i="52"/>
  <c r="B133" i="52"/>
  <c r="F133" i="52"/>
  <c r="F127" i="57"/>
  <c r="B127" i="57"/>
  <c r="H126" i="57"/>
  <c r="I126" i="57"/>
  <c r="D143" i="11"/>
  <c r="B143" i="11" s="1"/>
  <c r="J126" i="50"/>
  <c r="G127" i="50"/>
  <c r="D128" i="50"/>
  <c r="B128" i="50" s="1"/>
  <c r="E128" i="50"/>
  <c r="H142" i="11"/>
  <c r="B142" i="11"/>
  <c r="B144" i="7"/>
  <c r="E144" i="7"/>
  <c r="F144" i="7" s="1"/>
  <c r="J143" i="7"/>
  <c r="E140" i="3"/>
  <c r="F140" i="3" s="1"/>
  <c r="D141" i="3" s="1"/>
  <c r="E141" i="3" s="1"/>
  <c r="F141" i="3" s="1"/>
  <c r="E140" i="4"/>
  <c r="F140" i="4" s="1"/>
  <c r="D141" i="4" s="1"/>
  <c r="E141" i="4" s="1"/>
  <c r="F141" i="4" s="1"/>
  <c r="J142" i="10"/>
  <c r="E140" i="5"/>
  <c r="F140" i="5" s="1"/>
  <c r="H140" i="5" s="1"/>
  <c r="G141" i="6"/>
  <c r="I141" i="6" s="1"/>
  <c r="D142" i="6"/>
  <c r="E142" i="6" s="1"/>
  <c r="F142" i="6" s="1"/>
  <c r="B130" i="45"/>
  <c r="F130" i="45"/>
  <c r="B143" i="9"/>
  <c r="H143" i="9"/>
  <c r="B132" i="37"/>
  <c r="F132" i="37"/>
  <c r="B139" i="22"/>
  <c r="H139" i="22"/>
  <c r="B141" i="6"/>
  <c r="H141" i="6"/>
  <c r="F131" i="40"/>
  <c r="H131" i="40" s="1"/>
  <c r="B131" i="40"/>
  <c r="B131" i="41"/>
  <c r="F131" i="41"/>
  <c r="B130" i="44"/>
  <c r="F130" i="44"/>
  <c r="D140" i="22"/>
  <c r="B140" i="22" s="1"/>
  <c r="G139" i="22"/>
  <c r="I139" i="22" s="1"/>
  <c r="B130" i="42"/>
  <c r="F130" i="42"/>
  <c r="B137" i="24"/>
  <c r="F137" i="24"/>
  <c r="D144" i="9"/>
  <c r="G143" i="9"/>
  <c r="I143" i="9" s="1"/>
  <c r="B143" i="10"/>
  <c r="B139" i="25"/>
  <c r="F139" i="25"/>
  <c r="H139" i="25" s="1"/>
  <c r="F138" i="23"/>
  <c r="H138" i="23" s="1"/>
  <c r="B138" i="23"/>
  <c r="F129" i="46"/>
  <c r="B129" i="46"/>
  <c r="B132" i="39"/>
  <c r="F132" i="39"/>
  <c r="F135" i="28"/>
  <c r="H135" i="28" s="1"/>
  <c r="B135" i="28"/>
  <c r="B130" i="43"/>
  <c r="F130" i="43"/>
  <c r="H130" i="43" s="1"/>
  <c r="J128" i="46"/>
  <c r="B135" i="29"/>
  <c r="F135" i="29"/>
  <c r="B136" i="27"/>
  <c r="F136" i="27"/>
  <c r="J140" i="6"/>
  <c r="B134" i="30"/>
  <c r="F134" i="30"/>
  <c r="H134" i="30" s="1"/>
  <c r="B131" i="38"/>
  <c r="F131" i="38"/>
  <c r="E143" i="10"/>
  <c r="F143" i="10" s="1"/>
  <c r="H143" i="10" s="1"/>
  <c r="F135" i="31"/>
  <c r="B135" i="31"/>
  <c r="J134" i="29"/>
  <c r="E141" i="8"/>
  <c r="F141" i="8" s="1"/>
  <c r="J135" i="27"/>
  <c r="J126" i="51" l="1"/>
  <c r="G127" i="51"/>
  <c r="D128" i="51"/>
  <c r="E128" i="51"/>
  <c r="D134" i="52"/>
  <c r="E134" i="52" s="1"/>
  <c r="G133" i="52"/>
  <c r="J126" i="57"/>
  <c r="G127" i="57"/>
  <c r="D128" i="57"/>
  <c r="E128" i="57"/>
  <c r="E143" i="11"/>
  <c r="F143" i="11" s="1"/>
  <c r="H143" i="11" s="1"/>
  <c r="F128" i="50"/>
  <c r="H127" i="50"/>
  <c r="I127" i="50"/>
  <c r="G140" i="3"/>
  <c r="I140" i="3" s="1"/>
  <c r="H140" i="3"/>
  <c r="H140" i="4"/>
  <c r="G140" i="4"/>
  <c r="I140" i="4" s="1"/>
  <c r="D141" i="5"/>
  <c r="E141" i="5" s="1"/>
  <c r="F141" i="5" s="1"/>
  <c r="D142" i="5" s="1"/>
  <c r="E142" i="5" s="1"/>
  <c r="F142" i="5" s="1"/>
  <c r="E140" i="22"/>
  <c r="F140" i="22" s="1"/>
  <c r="G140" i="22" s="1"/>
  <c r="I140" i="22" s="1"/>
  <c r="D145" i="7"/>
  <c r="H144" i="7"/>
  <c r="G144" i="7"/>
  <c r="I144" i="7" s="1"/>
  <c r="G140" i="5"/>
  <c r="I140" i="5" s="1"/>
  <c r="J140" i="5" s="1"/>
  <c r="D144" i="10"/>
  <c r="E144" i="10" s="1"/>
  <c r="F144" i="10" s="1"/>
  <c r="G143" i="10"/>
  <c r="I143" i="10" s="1"/>
  <c r="J143" i="10" s="1"/>
  <c r="H129" i="46"/>
  <c r="D130" i="46"/>
  <c r="G129" i="46"/>
  <c r="I129" i="46" s="1"/>
  <c r="E130" i="46"/>
  <c r="H130" i="42"/>
  <c r="D131" i="42"/>
  <c r="G130" i="42"/>
  <c r="I130" i="42" s="1"/>
  <c r="E131" i="42"/>
  <c r="H131" i="38"/>
  <c r="G131" i="38"/>
  <c r="I131" i="38" s="1"/>
  <c r="D132" i="38"/>
  <c r="E132" i="38"/>
  <c r="B141" i="3"/>
  <c r="H141" i="3"/>
  <c r="H135" i="29"/>
  <c r="G135" i="29"/>
  <c r="I135" i="29" s="1"/>
  <c r="D136" i="29"/>
  <c r="E136" i="29"/>
  <c r="H131" i="41"/>
  <c r="D132" i="41"/>
  <c r="G131" i="41"/>
  <c r="I131" i="41" s="1"/>
  <c r="E132" i="41"/>
  <c r="G131" i="40"/>
  <c r="I131" i="40" s="1"/>
  <c r="D132" i="40"/>
  <c r="E132" i="40"/>
  <c r="H130" i="45"/>
  <c r="D131" i="45"/>
  <c r="G130" i="45"/>
  <c r="I130" i="45" s="1"/>
  <c r="E131" i="45"/>
  <c r="D139" i="23"/>
  <c r="G138" i="23"/>
  <c r="I138" i="23" s="1"/>
  <c r="D142" i="4"/>
  <c r="B142" i="4" s="1"/>
  <c r="G141" i="4"/>
  <c r="I141" i="4" s="1"/>
  <c r="G141" i="3"/>
  <c r="I141" i="3" s="1"/>
  <c r="D142" i="3"/>
  <c r="B142" i="3" s="1"/>
  <c r="H130" i="44"/>
  <c r="D131" i="44"/>
  <c r="G130" i="44"/>
  <c r="I130" i="44" s="1"/>
  <c r="E131" i="44"/>
  <c r="H141" i="8"/>
  <c r="D142" i="8"/>
  <c r="B142" i="8" s="1"/>
  <c r="G141" i="8"/>
  <c r="I141" i="8" s="1"/>
  <c r="G134" i="30"/>
  <c r="I134" i="30" s="1"/>
  <c r="J134" i="30" s="1"/>
  <c r="D135" i="30"/>
  <c r="E135" i="30"/>
  <c r="G135" i="28"/>
  <c r="I135" i="28" s="1"/>
  <c r="J135" i="28" s="1"/>
  <c r="D136" i="28"/>
  <c r="E136" i="28"/>
  <c r="B141" i="4"/>
  <c r="H141" i="4"/>
  <c r="D143" i="6"/>
  <c r="E143" i="6" s="1"/>
  <c r="F143" i="6" s="1"/>
  <c r="G142" i="6"/>
  <c r="I142" i="6" s="1"/>
  <c r="H135" i="31"/>
  <c r="G135" i="31"/>
  <c r="I135" i="31" s="1"/>
  <c r="D136" i="31"/>
  <c r="E136" i="31"/>
  <c r="G130" i="43"/>
  <c r="I130" i="43" s="1"/>
  <c r="J130" i="43" s="1"/>
  <c r="J155" i="43" s="1"/>
  <c r="D131" i="43"/>
  <c r="E131" i="43"/>
  <c r="H132" i="39"/>
  <c r="D133" i="39"/>
  <c r="G132" i="39"/>
  <c r="I132" i="39" s="1"/>
  <c r="E133" i="39"/>
  <c r="G139" i="25"/>
  <c r="I139" i="25" s="1"/>
  <c r="D140" i="25"/>
  <c r="E140" i="25" s="1"/>
  <c r="E144" i="9"/>
  <c r="F144" i="9" s="1"/>
  <c r="H144" i="9" s="1"/>
  <c r="B144" i="9"/>
  <c r="B142" i="6"/>
  <c r="H142" i="6"/>
  <c r="H136" i="27"/>
  <c r="G136" i="27"/>
  <c r="I136" i="27" s="1"/>
  <c r="D137" i="27"/>
  <c r="E137" i="27" s="1"/>
  <c r="H137" i="24"/>
  <c r="D138" i="24"/>
  <c r="E138" i="24" s="1"/>
  <c r="G137" i="24"/>
  <c r="I137" i="24" s="1"/>
  <c r="H132" i="37"/>
  <c r="D133" i="37"/>
  <c r="G132" i="37"/>
  <c r="I132" i="37" s="1"/>
  <c r="E133" i="37"/>
  <c r="J141" i="6"/>
  <c r="F128" i="51" l="1"/>
  <c r="B128" i="51"/>
  <c r="H127" i="51"/>
  <c r="I127" i="51"/>
  <c r="J127" i="51" s="1"/>
  <c r="H133" i="52"/>
  <c r="I133" i="52"/>
  <c r="B134" i="52"/>
  <c r="F134" i="52"/>
  <c r="F128" i="57"/>
  <c r="B128" i="57"/>
  <c r="H127" i="57"/>
  <c r="I127" i="57"/>
  <c r="J140" i="3"/>
  <c r="G143" i="11"/>
  <c r="I143" i="11" s="1"/>
  <c r="D144" i="11"/>
  <c r="E144" i="11" s="1"/>
  <c r="F144" i="11" s="1"/>
  <c r="H144" i="11" s="1"/>
  <c r="J127" i="50"/>
  <c r="G128" i="50"/>
  <c r="D129" i="50"/>
  <c r="E129" i="50"/>
  <c r="D141" i="22"/>
  <c r="B141" i="22" s="1"/>
  <c r="H141" i="5"/>
  <c r="J140" i="4"/>
  <c r="H140" i="22"/>
  <c r="B141" i="5"/>
  <c r="G141" i="5"/>
  <c r="I141" i="5" s="1"/>
  <c r="J144" i="7"/>
  <c r="J130" i="45"/>
  <c r="J155" i="45" s="1"/>
  <c r="E145" i="7"/>
  <c r="F145" i="7" s="1"/>
  <c r="H145" i="7" s="1"/>
  <c r="B145" i="7"/>
  <c r="E142" i="4"/>
  <c r="F142" i="4" s="1"/>
  <c r="H142" i="4" s="1"/>
  <c r="J141" i="3"/>
  <c r="J141" i="8"/>
  <c r="J130" i="42"/>
  <c r="J155" i="42" s="1"/>
  <c r="J136" i="27"/>
  <c r="J130" i="44"/>
  <c r="J155" i="44" s="1"/>
  <c r="J142" i="6"/>
  <c r="J129" i="46"/>
  <c r="E142" i="8"/>
  <c r="F142" i="8" s="1"/>
  <c r="H142" i="8" s="1"/>
  <c r="E142" i="3"/>
  <c r="F142" i="3" s="1"/>
  <c r="G142" i="3" s="1"/>
  <c r="I142" i="3" s="1"/>
  <c r="F137" i="27"/>
  <c r="H137" i="27" s="1"/>
  <c r="B137" i="27"/>
  <c r="F140" i="25"/>
  <c r="B140" i="25"/>
  <c r="G143" i="6"/>
  <c r="I143" i="6" s="1"/>
  <c r="D144" i="6"/>
  <c r="E144" i="6" s="1"/>
  <c r="F144" i="6" s="1"/>
  <c r="F132" i="40"/>
  <c r="B132" i="40"/>
  <c r="F130" i="46"/>
  <c r="B130" i="46"/>
  <c r="B139" i="23"/>
  <c r="G142" i="5"/>
  <c r="I142" i="5" s="1"/>
  <c r="D143" i="5"/>
  <c r="B136" i="29"/>
  <c r="F136" i="29"/>
  <c r="B131" i="43"/>
  <c r="F131" i="43"/>
  <c r="H131" i="43" s="1"/>
  <c r="B132" i="38"/>
  <c r="F132" i="38"/>
  <c r="H132" i="38" s="1"/>
  <c r="B138" i="24"/>
  <c r="F138" i="24"/>
  <c r="B143" i="6"/>
  <c r="H143" i="6"/>
  <c r="F136" i="28"/>
  <c r="B136" i="28"/>
  <c r="J135" i="29"/>
  <c r="J141" i="4"/>
  <c r="B142" i="5"/>
  <c r="H142" i="5"/>
  <c r="F132" i="41"/>
  <c r="H132" i="41" s="1"/>
  <c r="B132" i="41"/>
  <c r="B131" i="42"/>
  <c r="F131" i="42"/>
  <c r="H131" i="42" s="1"/>
  <c r="G144" i="10"/>
  <c r="I144" i="10" s="1"/>
  <c r="D145" i="10"/>
  <c r="E145" i="10" s="1"/>
  <c r="F145" i="10" s="1"/>
  <c r="B133" i="39"/>
  <c r="F133" i="39"/>
  <c r="F136" i="31"/>
  <c r="B136" i="31"/>
  <c r="F135" i="30"/>
  <c r="B135" i="30"/>
  <c r="F131" i="44"/>
  <c r="H131" i="44" s="1"/>
  <c r="B131" i="44"/>
  <c r="E139" i="23"/>
  <c r="F139" i="23" s="1"/>
  <c r="H139" i="23" s="1"/>
  <c r="B131" i="45"/>
  <c r="F131" i="45"/>
  <c r="H131" i="45" s="1"/>
  <c r="B133" i="37"/>
  <c r="F133" i="37"/>
  <c r="D145" i="9"/>
  <c r="G144" i="9"/>
  <c r="I144" i="9" s="1"/>
  <c r="J135" i="31"/>
  <c r="B144" i="10"/>
  <c r="H144" i="10"/>
  <c r="E129" i="51" l="1"/>
  <c r="D129" i="51"/>
  <c r="G128" i="51"/>
  <c r="D135" i="52"/>
  <c r="G134" i="52"/>
  <c r="E135" i="52"/>
  <c r="B144" i="11"/>
  <c r="G128" i="57"/>
  <c r="D129" i="57"/>
  <c r="E129" i="57"/>
  <c r="J127" i="57"/>
  <c r="E141" i="22"/>
  <c r="F141" i="22" s="1"/>
  <c r="G141" i="22" s="1"/>
  <c r="I141" i="22" s="1"/>
  <c r="B129" i="50"/>
  <c r="F129" i="50"/>
  <c r="J141" i="5"/>
  <c r="H128" i="50"/>
  <c r="I128" i="50"/>
  <c r="H142" i="3"/>
  <c r="J142" i="3" s="1"/>
  <c r="G142" i="4"/>
  <c r="I142" i="4" s="1"/>
  <c r="J142" i="4" s="1"/>
  <c r="D143" i="4"/>
  <c r="B143" i="4" s="1"/>
  <c r="D143" i="3"/>
  <c r="E143" i="3" s="1"/>
  <c r="F143" i="3" s="1"/>
  <c r="H143" i="3" s="1"/>
  <c r="D146" i="7"/>
  <c r="E146" i="7" s="1"/>
  <c r="F146" i="7" s="1"/>
  <c r="G145" i="7"/>
  <c r="I145" i="7" s="1"/>
  <c r="J145" i="7" s="1"/>
  <c r="D143" i="8"/>
  <c r="E143" i="8" s="1"/>
  <c r="F143" i="8" s="1"/>
  <c r="H143" i="8" s="1"/>
  <c r="G142" i="8"/>
  <c r="I142" i="8" s="1"/>
  <c r="J142" i="8" s="1"/>
  <c r="J142" i="5"/>
  <c r="H133" i="39"/>
  <c r="G133" i="39"/>
  <c r="I133" i="39" s="1"/>
  <c r="D134" i="39"/>
  <c r="E134" i="39"/>
  <c r="E143" i="5"/>
  <c r="F143" i="5" s="1"/>
  <c r="H143" i="5" s="1"/>
  <c r="B143" i="5"/>
  <c r="D133" i="40"/>
  <c r="G132" i="40"/>
  <c r="I132" i="40" s="1"/>
  <c r="E133" i="40"/>
  <c r="D141" i="25"/>
  <c r="B141" i="25" s="1"/>
  <c r="G140" i="25"/>
  <c r="I140" i="25" s="1"/>
  <c r="H133" i="37"/>
  <c r="G133" i="37"/>
  <c r="I133" i="37" s="1"/>
  <c r="D134" i="37"/>
  <c r="E134" i="37" s="1"/>
  <c r="D132" i="44"/>
  <c r="G131" i="44"/>
  <c r="I131" i="44" s="1"/>
  <c r="E132" i="44"/>
  <c r="H136" i="28"/>
  <c r="D137" i="28"/>
  <c r="E137" i="28" s="1"/>
  <c r="G136" i="28"/>
  <c r="I136" i="28" s="1"/>
  <c r="D132" i="42"/>
  <c r="G131" i="42"/>
  <c r="I131" i="42" s="1"/>
  <c r="E132" i="42"/>
  <c r="D133" i="38"/>
  <c r="G132" i="38"/>
  <c r="I132" i="38" s="1"/>
  <c r="E133" i="38"/>
  <c r="H135" i="30"/>
  <c r="G135" i="30"/>
  <c r="I135" i="30" s="1"/>
  <c r="D136" i="30"/>
  <c r="E136" i="30"/>
  <c r="G131" i="43"/>
  <c r="I131" i="43" s="1"/>
  <c r="D132" i="43"/>
  <c r="E132" i="43"/>
  <c r="G144" i="6"/>
  <c r="I144" i="6" s="1"/>
  <c r="D145" i="6"/>
  <c r="G144" i="11"/>
  <c r="I144" i="11" s="1"/>
  <c r="D145" i="11"/>
  <c r="E145" i="9"/>
  <c r="F145" i="9" s="1"/>
  <c r="H145" i="9" s="1"/>
  <c r="B145" i="9"/>
  <c r="G131" i="45"/>
  <c r="I131" i="45" s="1"/>
  <c r="D132" i="45"/>
  <c r="E132" i="45"/>
  <c r="G145" i="10"/>
  <c r="I145" i="10" s="1"/>
  <c r="D146" i="10"/>
  <c r="E146" i="10" s="1"/>
  <c r="F146" i="10" s="1"/>
  <c r="G132" i="41"/>
  <c r="I132" i="41" s="1"/>
  <c r="D133" i="41"/>
  <c r="E133" i="41"/>
  <c r="H130" i="46"/>
  <c r="D131" i="46"/>
  <c r="G130" i="46"/>
  <c r="I130" i="46" s="1"/>
  <c r="E131" i="46"/>
  <c r="B144" i="6"/>
  <c r="H144" i="6"/>
  <c r="B145" i="10"/>
  <c r="H145" i="10"/>
  <c r="H138" i="24"/>
  <c r="G138" i="24"/>
  <c r="I138" i="24" s="1"/>
  <c r="D139" i="24"/>
  <c r="B139" i="24" s="1"/>
  <c r="H136" i="29"/>
  <c r="D137" i="29"/>
  <c r="E137" i="29" s="1"/>
  <c r="G136" i="29"/>
  <c r="I136" i="29" s="1"/>
  <c r="H132" i="40"/>
  <c r="J143" i="6"/>
  <c r="G139" i="23"/>
  <c r="I139" i="23" s="1"/>
  <c r="D140" i="23"/>
  <c r="B140" i="23" s="1"/>
  <c r="H136" i="31"/>
  <c r="D137" i="31"/>
  <c r="E137" i="31" s="1"/>
  <c r="G136" i="31"/>
  <c r="I136" i="31" s="1"/>
  <c r="J144" i="10"/>
  <c r="H140" i="25"/>
  <c r="D138" i="27"/>
  <c r="G137" i="27"/>
  <c r="I137" i="27" s="1"/>
  <c r="J137" i="27" s="1"/>
  <c r="I128" i="51" l="1"/>
  <c r="H128" i="51"/>
  <c r="B129" i="51"/>
  <c r="F129" i="51"/>
  <c r="H134" i="52"/>
  <c r="I134" i="52"/>
  <c r="B135" i="52"/>
  <c r="F135" i="52"/>
  <c r="B129" i="57"/>
  <c r="F129" i="57"/>
  <c r="H128" i="57"/>
  <c r="I128" i="57"/>
  <c r="D142" i="22"/>
  <c r="B142" i="22" s="1"/>
  <c r="J128" i="50"/>
  <c r="H141" i="22"/>
  <c r="D130" i="50"/>
  <c r="G129" i="50"/>
  <c r="B143" i="3"/>
  <c r="E143" i="4"/>
  <c r="F143" i="4" s="1"/>
  <c r="H143" i="4" s="1"/>
  <c r="B143" i="8"/>
  <c r="G146" i="7"/>
  <c r="I146" i="7" s="1"/>
  <c r="D147" i="7"/>
  <c r="B147" i="7" s="1"/>
  <c r="B146" i="7"/>
  <c r="H146" i="7"/>
  <c r="J135" i="30"/>
  <c r="J136" i="29"/>
  <c r="J136" i="28"/>
  <c r="E140" i="23"/>
  <c r="F140" i="23" s="1"/>
  <c r="H140" i="23" s="1"/>
  <c r="G146" i="10"/>
  <c r="I146" i="10" s="1"/>
  <c r="D147" i="10"/>
  <c r="E147" i="10" s="1"/>
  <c r="F147" i="10" s="1"/>
  <c r="B137" i="31"/>
  <c r="F137" i="31"/>
  <c r="H137" i="31" s="1"/>
  <c r="J145" i="10"/>
  <c r="J136" i="31"/>
  <c r="B132" i="45"/>
  <c r="F132" i="45"/>
  <c r="H132" i="45" s="1"/>
  <c r="E145" i="11"/>
  <c r="F145" i="11" s="1"/>
  <c r="H145" i="11" s="1"/>
  <c r="B145" i="11"/>
  <c r="F136" i="30"/>
  <c r="B136" i="30"/>
  <c r="F132" i="42"/>
  <c r="H132" i="42" s="1"/>
  <c r="B132" i="42"/>
  <c r="E141" i="25"/>
  <c r="F141" i="25" s="1"/>
  <c r="B133" i="40"/>
  <c r="F133" i="40"/>
  <c r="H133" i="40" s="1"/>
  <c r="E145" i="6"/>
  <c r="F145" i="6" s="1"/>
  <c r="H145" i="6" s="1"/>
  <c r="B145" i="6"/>
  <c r="J144" i="6"/>
  <c r="B132" i="44"/>
  <c r="F132" i="44"/>
  <c r="H132" i="44" s="1"/>
  <c r="G143" i="5"/>
  <c r="I143" i="5" s="1"/>
  <c r="J143" i="5" s="1"/>
  <c r="D144" i="5"/>
  <c r="E144" i="5" s="1"/>
  <c r="F144" i="5" s="1"/>
  <c r="B146" i="10"/>
  <c r="H146" i="10"/>
  <c r="E138" i="27"/>
  <c r="F138" i="27" s="1"/>
  <c r="B138" i="27"/>
  <c r="E139" i="24"/>
  <c r="F139" i="24" s="1"/>
  <c r="G143" i="3"/>
  <c r="I143" i="3" s="1"/>
  <c r="J143" i="3" s="1"/>
  <c r="D144" i="3"/>
  <c r="B144" i="3" s="1"/>
  <c r="B132" i="43"/>
  <c r="F132" i="43"/>
  <c r="B133" i="38"/>
  <c r="F133" i="38"/>
  <c r="F134" i="37"/>
  <c r="H134" i="37" s="1"/>
  <c r="B134" i="37"/>
  <c r="G143" i="8"/>
  <c r="I143" i="8" s="1"/>
  <c r="J143" i="8" s="1"/>
  <c r="D144" i="8"/>
  <c r="B144" i="8" s="1"/>
  <c r="B134" i="39"/>
  <c r="F134" i="39"/>
  <c r="H134" i="39" s="1"/>
  <c r="J130" i="46"/>
  <c r="J155" i="46" s="1"/>
  <c r="B133" i="41"/>
  <c r="F133" i="41"/>
  <c r="H133" i="41" s="1"/>
  <c r="F137" i="28"/>
  <c r="H137" i="28" s="1"/>
  <c r="B137" i="28"/>
  <c r="F137" i="29"/>
  <c r="B137" i="29"/>
  <c r="F131" i="46"/>
  <c r="B131" i="46"/>
  <c r="D146" i="9"/>
  <c r="G145" i="9"/>
  <c r="I145" i="9" s="1"/>
  <c r="E130" i="51" l="1"/>
  <c r="G129" i="51"/>
  <c r="D130" i="51"/>
  <c r="J128" i="51"/>
  <c r="G135" i="52"/>
  <c r="D136" i="52"/>
  <c r="E136" i="52" s="1"/>
  <c r="J128" i="57"/>
  <c r="D130" i="57"/>
  <c r="G129" i="57"/>
  <c r="E130" i="57"/>
  <c r="G143" i="4"/>
  <c r="I143" i="4" s="1"/>
  <c r="J143" i="4" s="1"/>
  <c r="E142" i="22"/>
  <c r="F142" i="22" s="1"/>
  <c r="H142" i="22" s="1"/>
  <c r="H129" i="50"/>
  <c r="I129" i="50"/>
  <c r="E130" i="50"/>
  <c r="F130" i="50" s="1"/>
  <c r="B130" i="50"/>
  <c r="D144" i="4"/>
  <c r="B144" i="4" s="1"/>
  <c r="E147" i="7"/>
  <c r="F147" i="7" s="1"/>
  <c r="J146" i="7"/>
  <c r="G140" i="23"/>
  <c r="I140" i="23" s="1"/>
  <c r="D141" i="23"/>
  <c r="E141" i="23" s="1"/>
  <c r="F141" i="23" s="1"/>
  <c r="H141" i="23" s="1"/>
  <c r="G144" i="5"/>
  <c r="I144" i="5" s="1"/>
  <c r="D145" i="5"/>
  <c r="B145" i="5" s="1"/>
  <c r="E146" i="9"/>
  <c r="F146" i="9" s="1"/>
  <c r="H146" i="9" s="1"/>
  <c r="B146" i="9"/>
  <c r="E144" i="8"/>
  <c r="F144" i="8" s="1"/>
  <c r="H132" i="43"/>
  <c r="G132" i="43"/>
  <c r="I132" i="43" s="1"/>
  <c r="D133" i="43"/>
  <c r="E133" i="43"/>
  <c r="G138" i="27"/>
  <c r="I138" i="27" s="1"/>
  <c r="D139" i="27"/>
  <c r="E139" i="27" s="1"/>
  <c r="F139" i="27" s="1"/>
  <c r="D134" i="40"/>
  <c r="G133" i="40"/>
  <c r="I133" i="40" s="1"/>
  <c r="E134" i="40"/>
  <c r="H131" i="46"/>
  <c r="G131" i="46"/>
  <c r="I131" i="46" s="1"/>
  <c r="D132" i="46"/>
  <c r="E132" i="46"/>
  <c r="E144" i="3"/>
  <c r="F144" i="3" s="1"/>
  <c r="D133" i="44"/>
  <c r="G132" i="44"/>
  <c r="I132" i="44" s="1"/>
  <c r="E133" i="44"/>
  <c r="D146" i="6"/>
  <c r="B146" i="6" s="1"/>
  <c r="G145" i="6"/>
  <c r="I145" i="6" s="1"/>
  <c r="J145" i="6" s="1"/>
  <c r="H141" i="25"/>
  <c r="G141" i="25"/>
  <c r="I141" i="25" s="1"/>
  <c r="D142" i="25"/>
  <c r="B142" i="25" s="1"/>
  <c r="G137" i="31"/>
  <c r="I137" i="31" s="1"/>
  <c r="J137" i="31" s="1"/>
  <c r="D138" i="31"/>
  <c r="E138" i="31" s="1"/>
  <c r="G133" i="41"/>
  <c r="I133" i="41" s="1"/>
  <c r="D134" i="41"/>
  <c r="E134" i="41"/>
  <c r="G145" i="11"/>
  <c r="I145" i="11" s="1"/>
  <c r="D146" i="11"/>
  <c r="B146" i="11" s="1"/>
  <c r="D135" i="37"/>
  <c r="E135" i="37" s="1"/>
  <c r="G134" i="37"/>
  <c r="I134" i="37" s="1"/>
  <c r="H139" i="24"/>
  <c r="G139" i="24"/>
  <c r="I139" i="24" s="1"/>
  <c r="D140" i="24"/>
  <c r="B140" i="24" s="1"/>
  <c r="G147" i="10"/>
  <c r="I147" i="10" s="1"/>
  <c r="D148" i="10"/>
  <c r="E148" i="10" s="1"/>
  <c r="F148" i="10" s="1"/>
  <c r="D135" i="39"/>
  <c r="E135" i="39" s="1"/>
  <c r="G134" i="39"/>
  <c r="I134" i="39" s="1"/>
  <c r="H133" i="38"/>
  <c r="D134" i="38"/>
  <c r="G133" i="38"/>
  <c r="I133" i="38" s="1"/>
  <c r="E134" i="38"/>
  <c r="D133" i="42"/>
  <c r="G132" i="42"/>
  <c r="I132" i="42" s="1"/>
  <c r="E133" i="42"/>
  <c r="G132" i="45"/>
  <c r="I132" i="45" s="1"/>
  <c r="D133" i="45"/>
  <c r="E133" i="45"/>
  <c r="B147" i="10"/>
  <c r="H147" i="10"/>
  <c r="G136" i="30"/>
  <c r="I136" i="30" s="1"/>
  <c r="D137" i="30"/>
  <c r="E137" i="30" s="1"/>
  <c r="H137" i="29"/>
  <c r="G137" i="29"/>
  <c r="I137" i="29" s="1"/>
  <c r="D138" i="29"/>
  <c r="E138" i="29" s="1"/>
  <c r="D138" i="28"/>
  <c r="B138" i="28" s="1"/>
  <c r="G137" i="28"/>
  <c r="I137" i="28" s="1"/>
  <c r="J137" i="28" s="1"/>
  <c r="H138" i="27"/>
  <c r="B144" i="5"/>
  <c r="H144" i="5"/>
  <c r="H136" i="30"/>
  <c r="J146" i="10"/>
  <c r="F130" i="51" l="1"/>
  <c r="B130" i="51"/>
  <c r="H129" i="51"/>
  <c r="I129" i="51"/>
  <c r="J129" i="51" s="1"/>
  <c r="B136" i="52"/>
  <c r="F136" i="52"/>
  <c r="H135" i="52"/>
  <c r="I135" i="52"/>
  <c r="H129" i="57"/>
  <c r="I129" i="57"/>
  <c r="F130" i="57"/>
  <c r="B130" i="57"/>
  <c r="D143" i="22"/>
  <c r="B143" i="22" s="1"/>
  <c r="G142" i="22"/>
  <c r="I142" i="22" s="1"/>
  <c r="J129" i="50"/>
  <c r="E144" i="4"/>
  <c r="F144" i="4" s="1"/>
  <c r="D145" i="4" s="1"/>
  <c r="G130" i="50"/>
  <c r="D131" i="50"/>
  <c r="H147" i="7"/>
  <c r="G147" i="7"/>
  <c r="I147" i="7" s="1"/>
  <c r="D148" i="7"/>
  <c r="E148" i="7" s="1"/>
  <c r="F148" i="7" s="1"/>
  <c r="E138" i="28"/>
  <c r="F138" i="28" s="1"/>
  <c r="H138" i="28" s="1"/>
  <c r="B141" i="23"/>
  <c r="E146" i="6"/>
  <c r="F146" i="6" s="1"/>
  <c r="H146" i="6" s="1"/>
  <c r="J137" i="29"/>
  <c r="E145" i="5"/>
  <c r="F145" i="5" s="1"/>
  <c r="H145" i="5" s="1"/>
  <c r="F137" i="30"/>
  <c r="H137" i="30" s="1"/>
  <c r="B137" i="30"/>
  <c r="E140" i="24"/>
  <c r="F140" i="24" s="1"/>
  <c r="H144" i="8"/>
  <c r="D145" i="8"/>
  <c r="G144" i="8"/>
  <c r="I144" i="8" s="1"/>
  <c r="E146" i="11"/>
  <c r="F146" i="11" s="1"/>
  <c r="B134" i="41"/>
  <c r="F134" i="41"/>
  <c r="B134" i="40"/>
  <c r="F134" i="40"/>
  <c r="G139" i="27"/>
  <c r="I139" i="27" s="1"/>
  <c r="D140" i="27"/>
  <c r="E140" i="27" s="1"/>
  <c r="F140" i="27" s="1"/>
  <c r="B148" i="10"/>
  <c r="H148" i="10"/>
  <c r="B138" i="31"/>
  <c r="F138" i="31"/>
  <c r="H138" i="31" s="1"/>
  <c r="B139" i="27"/>
  <c r="H139" i="27"/>
  <c r="J136" i="30"/>
  <c r="J147" i="10"/>
  <c r="B132" i="46"/>
  <c r="F132" i="46"/>
  <c r="J138" i="27"/>
  <c r="G146" i="9"/>
  <c r="I146" i="9" s="1"/>
  <c r="D147" i="9"/>
  <c r="E147" i="9" s="1"/>
  <c r="F147" i="9" s="1"/>
  <c r="B135" i="39"/>
  <c r="F135" i="39"/>
  <c r="H135" i="39" s="1"/>
  <c r="G148" i="10"/>
  <c r="I148" i="10" s="1"/>
  <c r="D149" i="10"/>
  <c r="F138" i="29"/>
  <c r="B138" i="29"/>
  <c r="F134" i="38"/>
  <c r="B134" i="38"/>
  <c r="E142" i="25"/>
  <c r="F142" i="25" s="1"/>
  <c r="D142" i="23"/>
  <c r="B142" i="23" s="1"/>
  <c r="G141" i="23"/>
  <c r="I141" i="23" s="1"/>
  <c r="F133" i="42"/>
  <c r="H133" i="42" s="1"/>
  <c r="B133" i="42"/>
  <c r="H144" i="3"/>
  <c r="G144" i="3"/>
  <c r="I144" i="3" s="1"/>
  <c r="D145" i="3"/>
  <c r="B145" i="3" s="1"/>
  <c r="F133" i="44"/>
  <c r="B133" i="44"/>
  <c r="B133" i="43"/>
  <c r="F133" i="43"/>
  <c r="B133" i="45"/>
  <c r="F133" i="45"/>
  <c r="F135" i="37"/>
  <c r="H135" i="37" s="1"/>
  <c r="B135" i="37"/>
  <c r="J144" i="5"/>
  <c r="D131" i="51" l="1"/>
  <c r="E131" i="51"/>
  <c r="G130" i="51"/>
  <c r="E143" i="22"/>
  <c r="F143" i="22" s="1"/>
  <c r="G143" i="22" s="1"/>
  <c r="I143" i="22" s="1"/>
  <c r="D137" i="52"/>
  <c r="B137" i="52" s="1"/>
  <c r="G136" i="52"/>
  <c r="J129" i="57"/>
  <c r="G130" i="57"/>
  <c r="D131" i="57"/>
  <c r="E131" i="57"/>
  <c r="G144" i="4"/>
  <c r="I144" i="4" s="1"/>
  <c r="H144" i="4"/>
  <c r="E131" i="50"/>
  <c r="F131" i="50" s="1"/>
  <c r="B131" i="50"/>
  <c r="H130" i="50"/>
  <c r="I130" i="50"/>
  <c r="J147" i="7"/>
  <c r="G138" i="28"/>
  <c r="I138" i="28" s="1"/>
  <c r="J138" i="28" s="1"/>
  <c r="D139" i="28"/>
  <c r="B139" i="28" s="1"/>
  <c r="G146" i="6"/>
  <c r="I146" i="6" s="1"/>
  <c r="J146" i="6" s="1"/>
  <c r="D149" i="7"/>
  <c r="G148" i="7"/>
  <c r="I148" i="7" s="1"/>
  <c r="D147" i="6"/>
  <c r="B147" i="6" s="1"/>
  <c r="B148" i="7"/>
  <c r="H148" i="7"/>
  <c r="B145" i="4"/>
  <c r="D144" i="22"/>
  <c r="D146" i="5"/>
  <c r="E146" i="5" s="1"/>
  <c r="F146" i="5" s="1"/>
  <c r="E145" i="4"/>
  <c r="F145" i="4" s="1"/>
  <c r="G145" i="5"/>
  <c r="I145" i="5" s="1"/>
  <c r="J145" i="5" s="1"/>
  <c r="J148" i="10"/>
  <c r="H143" i="22"/>
  <c r="J144" i="8"/>
  <c r="J139" i="27"/>
  <c r="J144" i="3"/>
  <c r="G133" i="45"/>
  <c r="I133" i="45" s="1"/>
  <c r="D134" i="45"/>
  <c r="E134" i="45" s="1"/>
  <c r="E145" i="3"/>
  <c r="F145" i="3" s="1"/>
  <c r="B149" i="10"/>
  <c r="H146" i="11"/>
  <c r="G146" i="11"/>
  <c r="I146" i="11" s="1"/>
  <c r="D147" i="11"/>
  <c r="G140" i="27"/>
  <c r="I140" i="27" s="1"/>
  <c r="D141" i="27"/>
  <c r="B141" i="27" s="1"/>
  <c r="H133" i="43"/>
  <c r="D134" i="43"/>
  <c r="E134" i="43" s="1"/>
  <c r="G133" i="43"/>
  <c r="I133" i="43" s="1"/>
  <c r="H138" i="29"/>
  <c r="G138" i="29"/>
  <c r="I138" i="29" s="1"/>
  <c r="D139" i="29"/>
  <c r="E139" i="29" s="1"/>
  <c r="F139" i="29" s="1"/>
  <c r="G135" i="39"/>
  <c r="I135" i="39" s="1"/>
  <c r="D136" i="39"/>
  <c r="E136" i="39" s="1"/>
  <c r="E145" i="8"/>
  <c r="F145" i="8" s="1"/>
  <c r="H145" i="8" s="1"/>
  <c r="B145" i="8"/>
  <c r="D135" i="38"/>
  <c r="E135" i="38" s="1"/>
  <c r="G134" i="38"/>
  <c r="I134" i="38" s="1"/>
  <c r="H140" i="24"/>
  <c r="G140" i="24"/>
  <c r="I140" i="24" s="1"/>
  <c r="D141" i="24"/>
  <c r="B141" i="24" s="1"/>
  <c r="H134" i="40"/>
  <c r="D135" i="40"/>
  <c r="E135" i="40" s="1"/>
  <c r="G134" i="40"/>
  <c r="I134" i="40" s="1"/>
  <c r="D138" i="30"/>
  <c r="B138" i="30" s="1"/>
  <c r="G137" i="30"/>
  <c r="I137" i="30" s="1"/>
  <c r="J137" i="30" s="1"/>
  <c r="D139" i="31"/>
  <c r="E139" i="31" s="1"/>
  <c r="F139" i="31" s="1"/>
  <c r="G138" i="31"/>
  <c r="I138" i="31" s="1"/>
  <c r="J138" i="31" s="1"/>
  <c r="B140" i="27"/>
  <c r="H140" i="27"/>
  <c r="G147" i="9"/>
  <c r="I147" i="9" s="1"/>
  <c r="D148" i="9"/>
  <c r="H132" i="46"/>
  <c r="G132" i="46"/>
  <c r="I132" i="46" s="1"/>
  <c r="D133" i="46"/>
  <c r="E133" i="46"/>
  <c r="H133" i="44"/>
  <c r="G133" i="44"/>
  <c r="I133" i="44" s="1"/>
  <c r="D134" i="44"/>
  <c r="E134" i="44" s="1"/>
  <c r="D136" i="37"/>
  <c r="E136" i="37" s="1"/>
  <c r="G135" i="37"/>
  <c r="I135" i="37" s="1"/>
  <c r="D134" i="42"/>
  <c r="E134" i="42" s="1"/>
  <c r="G133" i="42"/>
  <c r="I133" i="42" s="1"/>
  <c r="H142" i="25"/>
  <c r="D143" i="25"/>
  <c r="E143" i="25" s="1"/>
  <c r="F143" i="25" s="1"/>
  <c r="G142" i="25"/>
  <c r="I142" i="25" s="1"/>
  <c r="B147" i="9"/>
  <c r="H147" i="9"/>
  <c r="H134" i="41"/>
  <c r="G134" i="41"/>
  <c r="I134" i="41" s="1"/>
  <c r="D135" i="41"/>
  <c r="E135" i="41" s="1"/>
  <c r="H133" i="45"/>
  <c r="E142" i="23"/>
  <c r="F142" i="23" s="1"/>
  <c r="H134" i="38"/>
  <c r="E149" i="10"/>
  <c r="F149" i="10" s="1"/>
  <c r="H149" i="10" s="1"/>
  <c r="E137" i="52" l="1"/>
  <c r="F137" i="52" s="1"/>
  <c r="I130" i="51"/>
  <c r="H130" i="51"/>
  <c r="B131" i="51"/>
  <c r="F131" i="51"/>
  <c r="D138" i="52"/>
  <c r="B138" i="52" s="1"/>
  <c r="G137" i="52"/>
  <c r="I136" i="52"/>
  <c r="H136" i="52"/>
  <c r="H130" i="57"/>
  <c r="I130" i="57"/>
  <c r="B131" i="57"/>
  <c r="F131" i="57"/>
  <c r="J144" i="4"/>
  <c r="J130" i="50"/>
  <c r="J155" i="50" s="1"/>
  <c r="E139" i="28"/>
  <c r="F139" i="28" s="1"/>
  <c r="H139" i="28" s="1"/>
  <c r="D132" i="50"/>
  <c r="G131" i="50"/>
  <c r="B146" i="5"/>
  <c r="E147" i="6"/>
  <c r="F147" i="6" s="1"/>
  <c r="G147" i="6" s="1"/>
  <c r="I147" i="6" s="1"/>
  <c r="J148" i="7"/>
  <c r="B149" i="7"/>
  <c r="E149" i="7"/>
  <c r="F149" i="7" s="1"/>
  <c r="E141" i="24"/>
  <c r="F141" i="24" s="1"/>
  <c r="G141" i="24" s="1"/>
  <c r="I141" i="24" s="1"/>
  <c r="G146" i="5"/>
  <c r="I146" i="5" s="1"/>
  <c r="H146" i="5"/>
  <c r="D147" i="5"/>
  <c r="B147" i="5" s="1"/>
  <c r="E144" i="22"/>
  <c r="F144" i="22" s="1"/>
  <c r="H144" i="22" s="1"/>
  <c r="B144" i="22"/>
  <c r="D146" i="4"/>
  <c r="G145" i="4"/>
  <c r="I145" i="4" s="1"/>
  <c r="H145" i="4"/>
  <c r="E141" i="27"/>
  <c r="F141" i="27" s="1"/>
  <c r="G141" i="27" s="1"/>
  <c r="I141" i="27" s="1"/>
  <c r="E138" i="30"/>
  <c r="F138" i="30" s="1"/>
  <c r="G138" i="30" s="1"/>
  <c r="I138" i="30" s="1"/>
  <c r="G139" i="29"/>
  <c r="I139" i="29" s="1"/>
  <c r="D140" i="29"/>
  <c r="E140" i="29" s="1"/>
  <c r="F140" i="29" s="1"/>
  <c r="B143" i="25"/>
  <c r="H143" i="25"/>
  <c r="B136" i="39"/>
  <c r="F136" i="39"/>
  <c r="F135" i="41"/>
  <c r="B135" i="41"/>
  <c r="B133" i="46"/>
  <c r="F133" i="46"/>
  <c r="D146" i="8"/>
  <c r="G145" i="8"/>
  <c r="I145" i="8" s="1"/>
  <c r="J145" i="8" s="1"/>
  <c r="F134" i="43"/>
  <c r="B134" i="43"/>
  <c r="B134" i="44"/>
  <c r="F134" i="44"/>
  <c r="H134" i="44" s="1"/>
  <c r="G149" i="10"/>
  <c r="I149" i="10" s="1"/>
  <c r="J149" i="10" s="1"/>
  <c r="D150" i="10"/>
  <c r="E150" i="10" s="1"/>
  <c r="F150" i="10" s="1"/>
  <c r="B139" i="31"/>
  <c r="H139" i="31"/>
  <c r="B139" i="29"/>
  <c r="H139" i="29"/>
  <c r="B135" i="40"/>
  <c r="F135" i="40"/>
  <c r="F134" i="42"/>
  <c r="H134" i="42" s="1"/>
  <c r="B134" i="42"/>
  <c r="J138" i="29"/>
  <c r="H145" i="3"/>
  <c r="D146" i="3"/>
  <c r="G145" i="3"/>
  <c r="I145" i="3" s="1"/>
  <c r="H142" i="23"/>
  <c r="G142" i="23"/>
  <c r="I142" i="23" s="1"/>
  <c r="D143" i="23"/>
  <c r="B143" i="23" s="1"/>
  <c r="E148" i="9"/>
  <c r="F148" i="9" s="1"/>
  <c r="H148" i="9" s="1"/>
  <c r="B148" i="9"/>
  <c r="J140" i="27"/>
  <c r="B134" i="45"/>
  <c r="F134" i="45"/>
  <c r="D140" i="31"/>
  <c r="G139" i="31"/>
  <c r="I139" i="31" s="1"/>
  <c r="G143" i="25"/>
  <c r="I143" i="25" s="1"/>
  <c r="D144" i="25"/>
  <c r="B136" i="37"/>
  <c r="F136" i="37"/>
  <c r="F135" i="38"/>
  <c r="B135" i="38"/>
  <c r="E147" i="11"/>
  <c r="F147" i="11" s="1"/>
  <c r="H147" i="11" s="1"/>
  <c r="B147" i="11"/>
  <c r="E138" i="52" l="1"/>
  <c r="F138" i="52" s="1"/>
  <c r="E132" i="51"/>
  <c r="D132" i="51"/>
  <c r="G131" i="51"/>
  <c r="J130" i="51"/>
  <c r="J155" i="51" s="1"/>
  <c r="D139" i="52"/>
  <c r="B139" i="52" s="1"/>
  <c r="G138" i="52"/>
  <c r="I137" i="52"/>
  <c r="H137" i="52"/>
  <c r="J130" i="57"/>
  <c r="J155" i="57" s="1"/>
  <c r="D132" i="57"/>
  <c r="G131" i="57"/>
  <c r="E132" i="57"/>
  <c r="D140" i="28"/>
  <c r="E140" i="28" s="1"/>
  <c r="F140" i="28" s="1"/>
  <c r="H140" i="28" s="1"/>
  <c r="G139" i="28"/>
  <c r="I139" i="28" s="1"/>
  <c r="J139" i="28" s="1"/>
  <c r="E147" i="5"/>
  <c r="F147" i="5" s="1"/>
  <c r="H147" i="5" s="1"/>
  <c r="H131" i="50"/>
  <c r="I131" i="50"/>
  <c r="E132" i="50"/>
  <c r="F132" i="50" s="1"/>
  <c r="B132" i="50"/>
  <c r="D148" i="6"/>
  <c r="H147" i="6"/>
  <c r="J147" i="6" s="1"/>
  <c r="D142" i="24"/>
  <c r="B142" i="24" s="1"/>
  <c r="H141" i="27"/>
  <c r="J141" i="27" s="1"/>
  <c r="H141" i="24"/>
  <c r="G149" i="7"/>
  <c r="I149" i="7" s="1"/>
  <c r="H149" i="7"/>
  <c r="D150" i="7"/>
  <c r="J146" i="5"/>
  <c r="J145" i="4"/>
  <c r="D139" i="30"/>
  <c r="G144" i="22"/>
  <c r="I144" i="22" s="1"/>
  <c r="D145" i="22"/>
  <c r="E145" i="22" s="1"/>
  <c r="F145" i="22" s="1"/>
  <c r="B146" i="4"/>
  <c r="H138" i="30"/>
  <c r="J138" i="30" s="1"/>
  <c r="D142" i="27"/>
  <c r="B142" i="27" s="1"/>
  <c r="J139" i="29"/>
  <c r="E146" i="4"/>
  <c r="F146" i="4" s="1"/>
  <c r="H146" i="4" s="1"/>
  <c r="E143" i="23"/>
  <c r="F143" i="23" s="1"/>
  <c r="G143" i="23" s="1"/>
  <c r="I143" i="23" s="1"/>
  <c r="J145" i="3"/>
  <c r="H136" i="39"/>
  <c r="D137" i="39"/>
  <c r="E137" i="39" s="1"/>
  <c r="F137" i="39" s="1"/>
  <c r="G136" i="39"/>
  <c r="I136" i="39" s="1"/>
  <c r="D149" i="9"/>
  <c r="B149" i="9" s="1"/>
  <c r="G148" i="9"/>
  <c r="I148" i="9" s="1"/>
  <c r="D135" i="42"/>
  <c r="G134" i="42"/>
  <c r="I134" i="42" s="1"/>
  <c r="E135" i="42"/>
  <c r="G150" i="10"/>
  <c r="I150" i="10" s="1"/>
  <c r="D151" i="10"/>
  <c r="B151" i="10" s="1"/>
  <c r="G134" i="44"/>
  <c r="I134" i="44" s="1"/>
  <c r="D135" i="44"/>
  <c r="E135" i="44"/>
  <c r="H133" i="46"/>
  <c r="G133" i="46"/>
  <c r="I133" i="46" s="1"/>
  <c r="D134" i="46"/>
  <c r="E134" i="46" s="1"/>
  <c r="H136" i="37"/>
  <c r="G136" i="37"/>
  <c r="I136" i="37" s="1"/>
  <c r="D137" i="37"/>
  <c r="H135" i="40"/>
  <c r="G135" i="40"/>
  <c r="I135" i="40" s="1"/>
  <c r="D136" i="40"/>
  <c r="E136" i="40" s="1"/>
  <c r="B150" i="10"/>
  <c r="H150" i="10"/>
  <c r="H135" i="38"/>
  <c r="G135" i="38"/>
  <c r="I135" i="38" s="1"/>
  <c r="D136" i="38"/>
  <c r="E136" i="38"/>
  <c r="B140" i="28"/>
  <c r="E146" i="3"/>
  <c r="F146" i="3" s="1"/>
  <c r="B146" i="3"/>
  <c r="H134" i="43"/>
  <c r="G134" i="43"/>
  <c r="I134" i="43" s="1"/>
  <c r="D135" i="43"/>
  <c r="E135" i="43"/>
  <c r="G140" i="29"/>
  <c r="I140" i="29" s="1"/>
  <c r="D141" i="29"/>
  <c r="B141" i="29" s="1"/>
  <c r="H135" i="41"/>
  <c r="G135" i="41"/>
  <c r="I135" i="41" s="1"/>
  <c r="D136" i="41"/>
  <c r="E136" i="41" s="1"/>
  <c r="B140" i="29"/>
  <c r="H140" i="29"/>
  <c r="E140" i="31"/>
  <c r="F140" i="31" s="1"/>
  <c r="H140" i="31" s="1"/>
  <c r="B140" i="31"/>
  <c r="H134" i="45"/>
  <c r="G134" i="45"/>
  <c r="I134" i="45" s="1"/>
  <c r="D135" i="45"/>
  <c r="E135" i="45" s="1"/>
  <c r="E144" i="25"/>
  <c r="F144" i="25" s="1"/>
  <c r="B144" i="25"/>
  <c r="D148" i="11"/>
  <c r="B148" i="11" s="1"/>
  <c r="G147" i="11"/>
  <c r="I147" i="11" s="1"/>
  <c r="J139" i="31"/>
  <c r="E146" i="8"/>
  <c r="F146" i="8" s="1"/>
  <c r="H146" i="8" s="1"/>
  <c r="B146" i="8"/>
  <c r="E139" i="52" l="1"/>
  <c r="F139" i="52" s="1"/>
  <c r="H131" i="51"/>
  <c r="I131" i="51"/>
  <c r="B132" i="51"/>
  <c r="F132" i="51"/>
  <c r="G139" i="52"/>
  <c r="D140" i="52"/>
  <c r="B140" i="52" s="1"/>
  <c r="I138" i="52"/>
  <c r="H138" i="52"/>
  <c r="H131" i="57"/>
  <c r="I131" i="57"/>
  <c r="F132" i="57"/>
  <c r="B132" i="57"/>
  <c r="D148" i="5"/>
  <c r="E148" i="5" s="1"/>
  <c r="F148" i="5" s="1"/>
  <c r="G148" i="5" s="1"/>
  <c r="I148" i="5" s="1"/>
  <c r="G147" i="5"/>
  <c r="I147" i="5" s="1"/>
  <c r="J147" i="5" s="1"/>
  <c r="G132" i="50"/>
  <c r="D133" i="50"/>
  <c r="E142" i="24"/>
  <c r="F142" i="24" s="1"/>
  <c r="D143" i="24" s="1"/>
  <c r="B143" i="24" s="1"/>
  <c r="E148" i="6"/>
  <c r="F148" i="6" s="1"/>
  <c r="B148" i="6"/>
  <c r="D144" i="23"/>
  <c r="B144" i="23" s="1"/>
  <c r="H143" i="23"/>
  <c r="E150" i="7"/>
  <c r="F150" i="7" s="1"/>
  <c r="H150" i="7" s="1"/>
  <c r="B150" i="7"/>
  <c r="J149" i="7"/>
  <c r="D146" i="22"/>
  <c r="E146" i="22" s="1"/>
  <c r="G145" i="22"/>
  <c r="I145" i="22" s="1"/>
  <c r="E142" i="27"/>
  <c r="F142" i="27" s="1"/>
  <c r="D143" i="27" s="1"/>
  <c r="B145" i="22"/>
  <c r="H145" i="22"/>
  <c r="G146" i="4"/>
  <c r="I146" i="4" s="1"/>
  <c r="J146" i="4" s="1"/>
  <c r="D147" i="4"/>
  <c r="E147" i="4" s="1"/>
  <c r="F147" i="4" s="1"/>
  <c r="B139" i="30"/>
  <c r="E139" i="30"/>
  <c r="F139" i="30" s="1"/>
  <c r="J150" i="10"/>
  <c r="J140" i="29"/>
  <c r="D145" i="25"/>
  <c r="G144" i="25"/>
  <c r="I144" i="25" s="1"/>
  <c r="F136" i="41"/>
  <c r="H136" i="41" s="1"/>
  <c r="B136" i="41"/>
  <c r="B135" i="43"/>
  <c r="F135" i="43"/>
  <c r="H146" i="3"/>
  <c r="G146" i="3"/>
  <c r="I146" i="3" s="1"/>
  <c r="D147" i="3"/>
  <c r="E147" i="3" s="1"/>
  <c r="F147" i="3" s="1"/>
  <c r="E151" i="10"/>
  <c r="F151" i="10" s="1"/>
  <c r="B135" i="45"/>
  <c r="F135" i="45"/>
  <c r="H135" i="45" s="1"/>
  <c r="B134" i="46"/>
  <c r="F134" i="46"/>
  <c r="E148" i="11"/>
  <c r="F148" i="11" s="1"/>
  <c r="E141" i="29"/>
  <c r="F141" i="29" s="1"/>
  <c r="G140" i="28"/>
  <c r="I140" i="28" s="1"/>
  <c r="J140" i="28" s="1"/>
  <c r="D141" i="28"/>
  <c r="B136" i="38"/>
  <c r="F136" i="38"/>
  <c r="B137" i="39"/>
  <c r="H137" i="39"/>
  <c r="F136" i="40"/>
  <c r="B136" i="40"/>
  <c r="D138" i="39"/>
  <c r="E138" i="39" s="1"/>
  <c r="F138" i="39" s="1"/>
  <c r="G137" i="39"/>
  <c r="I137" i="39" s="1"/>
  <c r="B135" i="42"/>
  <c r="F135" i="42"/>
  <c r="E137" i="37"/>
  <c r="F137" i="37" s="1"/>
  <c r="B137" i="37"/>
  <c r="B135" i="44"/>
  <c r="F135" i="44"/>
  <c r="H135" i="44" s="1"/>
  <c r="E149" i="9"/>
  <c r="F149" i="9" s="1"/>
  <c r="D147" i="8"/>
  <c r="G146" i="8"/>
  <c r="I146" i="8" s="1"/>
  <c r="J146" i="8" s="1"/>
  <c r="H144" i="25"/>
  <c r="D141" i="31"/>
  <c r="E141" i="31" s="1"/>
  <c r="F141" i="31" s="1"/>
  <c r="G140" i="31"/>
  <c r="I140" i="31" s="1"/>
  <c r="J140" i="31" s="1"/>
  <c r="E140" i="52" l="1"/>
  <c r="F140" i="52" s="1"/>
  <c r="D133" i="51"/>
  <c r="G132" i="51"/>
  <c r="E133" i="51"/>
  <c r="H148" i="5"/>
  <c r="J148" i="5" s="1"/>
  <c r="B148" i="5"/>
  <c r="D141" i="52"/>
  <c r="B141" i="52" s="1"/>
  <c r="G140" i="52"/>
  <c r="D149" i="5"/>
  <c r="E149" i="5" s="1"/>
  <c r="F149" i="5" s="1"/>
  <c r="H139" i="52"/>
  <c r="I139" i="52"/>
  <c r="G132" i="57"/>
  <c r="D133" i="57"/>
  <c r="E133" i="57"/>
  <c r="E143" i="24"/>
  <c r="F143" i="24" s="1"/>
  <c r="G143" i="24" s="1"/>
  <c r="I143" i="24" s="1"/>
  <c r="H142" i="24"/>
  <c r="G142" i="24"/>
  <c r="I142" i="24" s="1"/>
  <c r="G142" i="27"/>
  <c r="I142" i="27" s="1"/>
  <c r="H142" i="27"/>
  <c r="E133" i="50"/>
  <c r="F133" i="50" s="1"/>
  <c r="B133" i="50"/>
  <c r="H132" i="50"/>
  <c r="I132" i="50"/>
  <c r="E144" i="23"/>
  <c r="F144" i="23" s="1"/>
  <c r="H144" i="23" s="1"/>
  <c r="D149" i="6"/>
  <c r="H148" i="6"/>
  <c r="G148" i="6"/>
  <c r="I148" i="6" s="1"/>
  <c r="F146" i="22"/>
  <c r="D147" i="22" s="1"/>
  <c r="D151" i="7"/>
  <c r="B151" i="7" s="1"/>
  <c r="G150" i="7"/>
  <c r="I150" i="7" s="1"/>
  <c r="J150" i="7" s="1"/>
  <c r="D148" i="4"/>
  <c r="E148" i="4" s="1"/>
  <c r="F148" i="4" s="1"/>
  <c r="G147" i="4"/>
  <c r="I147" i="4" s="1"/>
  <c r="B147" i="4"/>
  <c r="H147" i="4"/>
  <c r="G139" i="30"/>
  <c r="I139" i="30" s="1"/>
  <c r="D140" i="30"/>
  <c r="E140" i="30" s="1"/>
  <c r="F140" i="30" s="1"/>
  <c r="H139" i="30"/>
  <c r="B146" i="22"/>
  <c r="J146" i="3"/>
  <c r="D138" i="37"/>
  <c r="B138" i="37" s="1"/>
  <c r="G137" i="37"/>
  <c r="I137" i="37" s="1"/>
  <c r="H137" i="37"/>
  <c r="H149" i="9"/>
  <c r="G149" i="9"/>
  <c r="I149" i="9" s="1"/>
  <c r="D150" i="9"/>
  <c r="B150" i="9" s="1"/>
  <c r="G141" i="31"/>
  <c r="I141" i="31" s="1"/>
  <c r="D142" i="31"/>
  <c r="B142" i="31" s="1"/>
  <c r="E147" i="8"/>
  <c r="F147" i="8" s="1"/>
  <c r="H147" i="8" s="1"/>
  <c r="B147" i="8"/>
  <c r="E143" i="27"/>
  <c r="F143" i="27" s="1"/>
  <c r="B143" i="27"/>
  <c r="H143" i="24"/>
  <c r="D144" i="24"/>
  <c r="E144" i="24" s="1"/>
  <c r="F144" i="24" s="1"/>
  <c r="H151" i="10"/>
  <c r="G151" i="10"/>
  <c r="I151" i="10" s="1"/>
  <c r="D152" i="10"/>
  <c r="H141" i="29"/>
  <c r="D142" i="29"/>
  <c r="E142" i="29" s="1"/>
  <c r="F142" i="29" s="1"/>
  <c r="G141" i="29"/>
  <c r="I141" i="29" s="1"/>
  <c r="G136" i="41"/>
  <c r="I136" i="41" s="1"/>
  <c r="D137" i="41"/>
  <c r="B137" i="41" s="1"/>
  <c r="G135" i="44"/>
  <c r="I135" i="44" s="1"/>
  <c r="D136" i="44"/>
  <c r="E136" i="44" s="1"/>
  <c r="H134" i="46"/>
  <c r="G134" i="46"/>
  <c r="I134" i="46" s="1"/>
  <c r="D135" i="46"/>
  <c r="E135" i="46"/>
  <c r="B147" i="3"/>
  <c r="H147" i="3"/>
  <c r="G147" i="3"/>
  <c r="I147" i="3" s="1"/>
  <c r="D148" i="3"/>
  <c r="B138" i="39"/>
  <c r="H138" i="39"/>
  <c r="H136" i="38"/>
  <c r="G136" i="38"/>
  <c r="I136" i="38" s="1"/>
  <c r="D137" i="38"/>
  <c r="E137" i="38" s="1"/>
  <c r="E145" i="25"/>
  <c r="F145" i="25" s="1"/>
  <c r="H145" i="25" s="1"/>
  <c r="B145" i="25"/>
  <c r="H136" i="40"/>
  <c r="D137" i="40"/>
  <c r="G136" i="40"/>
  <c r="I136" i="40" s="1"/>
  <c r="H148" i="11"/>
  <c r="G148" i="11"/>
  <c r="I148" i="11" s="1"/>
  <c r="D149" i="11"/>
  <c r="B149" i="11" s="1"/>
  <c r="G149" i="5"/>
  <c r="I149" i="5" s="1"/>
  <c r="D150" i="5"/>
  <c r="E150" i="5" s="1"/>
  <c r="F150" i="5" s="1"/>
  <c r="G138" i="39"/>
  <c r="I138" i="39" s="1"/>
  <c r="D139" i="39"/>
  <c r="H135" i="42"/>
  <c r="G135" i="42"/>
  <c r="I135" i="42" s="1"/>
  <c r="D136" i="42"/>
  <c r="E136" i="42" s="1"/>
  <c r="E141" i="28"/>
  <c r="F141" i="28" s="1"/>
  <c r="H141" i="28" s="1"/>
  <c r="B141" i="28"/>
  <c r="G135" i="45"/>
  <c r="I135" i="45" s="1"/>
  <c r="D136" i="45"/>
  <c r="E136" i="45" s="1"/>
  <c r="H135" i="43"/>
  <c r="G135" i="43"/>
  <c r="I135" i="43" s="1"/>
  <c r="D136" i="43"/>
  <c r="E136" i="43" s="1"/>
  <c r="B149" i="5"/>
  <c r="H149" i="5"/>
  <c r="B141" i="31"/>
  <c r="H141" i="31"/>
  <c r="E141" i="52" l="1"/>
  <c r="F141" i="52" s="1"/>
  <c r="I132" i="51"/>
  <c r="H132" i="51"/>
  <c r="B133" i="51"/>
  <c r="F133" i="51"/>
  <c r="D142" i="52"/>
  <c r="B142" i="52" s="1"/>
  <c r="G141" i="52"/>
  <c r="I140" i="52"/>
  <c r="H140" i="52"/>
  <c r="B133" i="57"/>
  <c r="F133" i="57"/>
  <c r="H132" i="57"/>
  <c r="I132" i="57"/>
  <c r="J142" i="27"/>
  <c r="D134" i="50"/>
  <c r="G133" i="50"/>
  <c r="G144" i="23"/>
  <c r="I144" i="23" s="1"/>
  <c r="D145" i="23"/>
  <c r="B145" i="23" s="1"/>
  <c r="G146" i="22"/>
  <c r="I146" i="22" s="1"/>
  <c r="J148" i="6"/>
  <c r="H146" i="22"/>
  <c r="E149" i="6"/>
  <c r="F149" i="6" s="1"/>
  <c r="H149" i="6" s="1"/>
  <c r="B149" i="6"/>
  <c r="E151" i="7"/>
  <c r="F151" i="7" s="1"/>
  <c r="H151" i="7" s="1"/>
  <c r="D141" i="30"/>
  <c r="B141" i="30" s="1"/>
  <c r="G140" i="30"/>
  <c r="I140" i="30" s="1"/>
  <c r="J139" i="30"/>
  <c r="E142" i="31"/>
  <c r="F142" i="31" s="1"/>
  <c r="H142" i="31" s="1"/>
  <c r="J151" i="10"/>
  <c r="E147" i="22"/>
  <c r="F147" i="22" s="1"/>
  <c r="H147" i="22" s="1"/>
  <c r="B147" i="22"/>
  <c r="G148" i="4"/>
  <c r="I148" i="4" s="1"/>
  <c r="D149" i="4"/>
  <c r="J147" i="4"/>
  <c r="E137" i="41"/>
  <c r="F137" i="41" s="1"/>
  <c r="G137" i="41" s="1"/>
  <c r="I137" i="41" s="1"/>
  <c r="E138" i="37"/>
  <c r="F138" i="37" s="1"/>
  <c r="H138" i="37" s="1"/>
  <c r="B140" i="30"/>
  <c r="H140" i="30"/>
  <c r="B148" i="4"/>
  <c r="H148" i="4"/>
  <c r="J141" i="29"/>
  <c r="E149" i="11"/>
  <c r="F149" i="11" s="1"/>
  <c r="H149" i="11" s="1"/>
  <c r="E150" i="9"/>
  <c r="F150" i="9" s="1"/>
  <c r="D151" i="9" s="1"/>
  <c r="E151" i="9" s="1"/>
  <c r="F151" i="9" s="1"/>
  <c r="B136" i="42"/>
  <c r="F136" i="42"/>
  <c r="H136" i="42" s="1"/>
  <c r="G143" i="27"/>
  <c r="I143" i="27" s="1"/>
  <c r="D144" i="27"/>
  <c r="E144" i="27" s="1"/>
  <c r="F144" i="27" s="1"/>
  <c r="D151" i="5"/>
  <c r="E151" i="5" s="1"/>
  <c r="F151" i="5" s="1"/>
  <c r="G150" i="5"/>
  <c r="I150" i="5" s="1"/>
  <c r="B136" i="45"/>
  <c r="F136" i="45"/>
  <c r="B150" i="5"/>
  <c r="H150" i="5"/>
  <c r="F135" i="46"/>
  <c r="B135" i="46"/>
  <c r="G144" i="24"/>
  <c r="I144" i="24" s="1"/>
  <c r="D145" i="24"/>
  <c r="B145" i="24" s="1"/>
  <c r="J147" i="3"/>
  <c r="J149" i="5"/>
  <c r="D146" i="25"/>
  <c r="E146" i="25" s="1"/>
  <c r="F146" i="25" s="1"/>
  <c r="G145" i="25"/>
  <c r="I145" i="25" s="1"/>
  <c r="D143" i="29"/>
  <c r="B143" i="29" s="1"/>
  <c r="G142" i="29"/>
  <c r="I142" i="29" s="1"/>
  <c r="B144" i="24"/>
  <c r="H144" i="24"/>
  <c r="G147" i="8"/>
  <c r="I147" i="8" s="1"/>
  <c r="J147" i="8" s="1"/>
  <c r="D148" i="8"/>
  <c r="B148" i="8" s="1"/>
  <c r="E137" i="40"/>
  <c r="F137" i="40" s="1"/>
  <c r="H137" i="40" s="1"/>
  <c r="B137" i="40"/>
  <c r="B139" i="39"/>
  <c r="E152" i="10"/>
  <c r="F152" i="10" s="1"/>
  <c r="H152" i="10" s="1"/>
  <c r="B152" i="10"/>
  <c r="B137" i="38"/>
  <c r="F137" i="38"/>
  <c r="B142" i="29"/>
  <c r="H142" i="29"/>
  <c r="F136" i="43"/>
  <c r="H136" i="43" s="1"/>
  <c r="B136" i="43"/>
  <c r="D142" i="28"/>
  <c r="B142" i="28" s="1"/>
  <c r="G141" i="28"/>
  <c r="I141" i="28" s="1"/>
  <c r="J141" i="28" s="1"/>
  <c r="E139" i="39"/>
  <c r="F139" i="39" s="1"/>
  <c r="H139" i="39" s="1"/>
  <c r="E148" i="3"/>
  <c r="F148" i="3" s="1"/>
  <c r="H148" i="3" s="1"/>
  <c r="B148" i="3"/>
  <c r="B136" i="44"/>
  <c r="F136" i="44"/>
  <c r="H143" i="27"/>
  <c r="J141" i="31"/>
  <c r="E142" i="52" l="1"/>
  <c r="F142" i="52" s="1"/>
  <c r="G142" i="52" s="1"/>
  <c r="G133" i="51"/>
  <c r="D134" i="51"/>
  <c r="B134" i="51" s="1"/>
  <c r="E134" i="51"/>
  <c r="D143" i="52"/>
  <c r="B143" i="52" s="1"/>
  <c r="H141" i="52"/>
  <c r="I141" i="52"/>
  <c r="G133" i="57"/>
  <c r="D134" i="57"/>
  <c r="E134" i="57"/>
  <c r="E145" i="23"/>
  <c r="F145" i="23" s="1"/>
  <c r="H145" i="23" s="1"/>
  <c r="H133" i="50"/>
  <c r="I133" i="50"/>
  <c r="E134" i="50"/>
  <c r="F134" i="50" s="1"/>
  <c r="B134" i="50"/>
  <c r="D150" i="6"/>
  <c r="E150" i="6" s="1"/>
  <c r="F150" i="6" s="1"/>
  <c r="G149" i="6"/>
  <c r="I149" i="6" s="1"/>
  <c r="J149" i="6" s="1"/>
  <c r="D139" i="37"/>
  <c r="B139" i="37" s="1"/>
  <c r="G138" i="37"/>
  <c r="I138" i="37" s="1"/>
  <c r="G151" i="7"/>
  <c r="I151" i="7" s="1"/>
  <c r="J151" i="7" s="1"/>
  <c r="D152" i="7"/>
  <c r="E152" i="7" s="1"/>
  <c r="F152" i="7" s="1"/>
  <c r="E141" i="30"/>
  <c r="F141" i="30" s="1"/>
  <c r="H141" i="30" s="1"/>
  <c r="D143" i="31"/>
  <c r="E143" i="31" s="1"/>
  <c r="F143" i="31" s="1"/>
  <c r="G143" i="31" s="1"/>
  <c r="I143" i="31" s="1"/>
  <c r="D138" i="41"/>
  <c r="E138" i="41" s="1"/>
  <c r="F138" i="41" s="1"/>
  <c r="G138" i="41" s="1"/>
  <c r="I138" i="41" s="1"/>
  <c r="G142" i="31"/>
  <c r="I142" i="31" s="1"/>
  <c r="J142" i="31" s="1"/>
  <c r="H137" i="41"/>
  <c r="J140" i="30"/>
  <c r="G150" i="9"/>
  <c r="I150" i="9" s="1"/>
  <c r="H150" i="9"/>
  <c r="B149" i="4"/>
  <c r="J148" i="4"/>
  <c r="D150" i="11"/>
  <c r="B150" i="11" s="1"/>
  <c r="G149" i="11"/>
  <c r="I149" i="11" s="1"/>
  <c r="E149" i="4"/>
  <c r="F149" i="4" s="1"/>
  <c r="J150" i="5"/>
  <c r="G147" i="22"/>
  <c r="I147" i="22" s="1"/>
  <c r="D148" i="22"/>
  <c r="E145" i="24"/>
  <c r="F145" i="24" s="1"/>
  <c r="H145" i="24" s="1"/>
  <c r="D152" i="9"/>
  <c r="B152" i="9" s="1"/>
  <c r="G151" i="9"/>
  <c r="I151" i="9" s="1"/>
  <c r="H136" i="44"/>
  <c r="D137" i="44"/>
  <c r="G136" i="44"/>
  <c r="I136" i="44" s="1"/>
  <c r="E137" i="44"/>
  <c r="E148" i="8"/>
  <c r="F148" i="8" s="1"/>
  <c r="B151" i="9"/>
  <c r="H151" i="9"/>
  <c r="J143" i="27"/>
  <c r="D147" i="25"/>
  <c r="G146" i="25"/>
  <c r="I146" i="25" s="1"/>
  <c r="D152" i="5"/>
  <c r="B152" i="5" s="1"/>
  <c r="G151" i="5"/>
  <c r="I151" i="5" s="1"/>
  <c r="G136" i="43"/>
  <c r="I136" i="43" s="1"/>
  <c r="D137" i="43"/>
  <c r="G152" i="10"/>
  <c r="I152" i="10" s="1"/>
  <c r="J152" i="10" s="1"/>
  <c r="D153" i="10"/>
  <c r="D138" i="40"/>
  <c r="B138" i="40" s="1"/>
  <c r="G137" i="40"/>
  <c r="I137" i="40" s="1"/>
  <c r="H135" i="46"/>
  <c r="D136" i="46"/>
  <c r="E136" i="46" s="1"/>
  <c r="G135" i="46"/>
  <c r="I135" i="46" s="1"/>
  <c r="G145" i="23"/>
  <c r="I145" i="23" s="1"/>
  <c r="G148" i="3"/>
  <c r="I148" i="3" s="1"/>
  <c r="J148" i="3" s="1"/>
  <c r="D149" i="3"/>
  <c r="B149" i="3" s="1"/>
  <c r="H137" i="38"/>
  <c r="D138" i="38"/>
  <c r="G137" i="38"/>
  <c r="I137" i="38" s="1"/>
  <c r="B146" i="25"/>
  <c r="H146" i="25"/>
  <c r="B151" i="5"/>
  <c r="H151" i="5"/>
  <c r="D140" i="39"/>
  <c r="G139" i="39"/>
  <c r="I139" i="39" s="1"/>
  <c r="E143" i="29"/>
  <c r="F143" i="29" s="1"/>
  <c r="G144" i="27"/>
  <c r="I144" i="27" s="1"/>
  <c r="D145" i="27"/>
  <c r="B145" i="27" s="1"/>
  <c r="E142" i="28"/>
  <c r="F142" i="28" s="1"/>
  <c r="J142" i="29"/>
  <c r="H136" i="45"/>
  <c r="G136" i="45"/>
  <c r="I136" i="45" s="1"/>
  <c r="D137" i="45"/>
  <c r="E137" i="45" s="1"/>
  <c r="F137" i="45" s="1"/>
  <c r="B144" i="27"/>
  <c r="H144" i="27"/>
  <c r="G136" i="42"/>
  <c r="I136" i="42" s="1"/>
  <c r="D137" i="42"/>
  <c r="B137" i="42" s="1"/>
  <c r="F134" i="51" l="1"/>
  <c r="G134" i="51"/>
  <c r="D135" i="51"/>
  <c r="B135" i="51" s="1"/>
  <c r="H133" i="51"/>
  <c r="I133" i="51"/>
  <c r="E143" i="52"/>
  <c r="F143" i="52" s="1"/>
  <c r="H142" i="52"/>
  <c r="I142" i="52"/>
  <c r="D146" i="23"/>
  <c r="F134" i="57"/>
  <c r="B134" i="57"/>
  <c r="H133" i="57"/>
  <c r="I133" i="57"/>
  <c r="D135" i="50"/>
  <c r="G134" i="50"/>
  <c r="E135" i="50"/>
  <c r="E139" i="37"/>
  <c r="F139" i="37" s="1"/>
  <c r="H139" i="37" s="1"/>
  <c r="G150" i="6"/>
  <c r="I150" i="6" s="1"/>
  <c r="D151" i="6"/>
  <c r="B150" i="6"/>
  <c r="H150" i="6"/>
  <c r="D144" i="31"/>
  <c r="B144" i="31" s="1"/>
  <c r="B152" i="7"/>
  <c r="D142" i="30"/>
  <c r="G141" i="30"/>
  <c r="I141" i="30" s="1"/>
  <c r="J141" i="30" s="1"/>
  <c r="H143" i="31"/>
  <c r="J143" i="31" s="1"/>
  <c r="B143" i="31"/>
  <c r="H138" i="41"/>
  <c r="D139" i="41"/>
  <c r="E139" i="41" s="1"/>
  <c r="F139" i="41" s="1"/>
  <c r="G139" i="41" s="1"/>
  <c r="I139" i="41" s="1"/>
  <c r="B138" i="41"/>
  <c r="D146" i="24"/>
  <c r="E146" i="24" s="1"/>
  <c r="F146" i="24" s="1"/>
  <c r="H146" i="24" s="1"/>
  <c r="G145" i="24"/>
  <c r="I145" i="24" s="1"/>
  <c r="G152" i="7"/>
  <c r="I152" i="7" s="1"/>
  <c r="D153" i="7"/>
  <c r="E153" i="7" s="1"/>
  <c r="F153" i="7" s="1"/>
  <c r="H152" i="7"/>
  <c r="E150" i="11"/>
  <c r="F150" i="11" s="1"/>
  <c r="G150" i="11" s="1"/>
  <c r="I150" i="11" s="1"/>
  <c r="D150" i="4"/>
  <c r="B150" i="4" s="1"/>
  <c r="G149" i="4"/>
  <c r="I149" i="4" s="1"/>
  <c r="B148" i="22"/>
  <c r="E148" i="22"/>
  <c r="F148" i="22" s="1"/>
  <c r="H149" i="4"/>
  <c r="E152" i="9"/>
  <c r="F152" i="9" s="1"/>
  <c r="H152" i="9" s="1"/>
  <c r="E149" i="3"/>
  <c r="F149" i="3" s="1"/>
  <c r="H149" i="3" s="1"/>
  <c r="E137" i="42"/>
  <c r="F137" i="42" s="1"/>
  <c r="B140" i="39"/>
  <c r="J151" i="5"/>
  <c r="F137" i="44"/>
  <c r="B137" i="44"/>
  <c r="B146" i="23"/>
  <c r="E145" i="27"/>
  <c r="F145" i="27" s="1"/>
  <c r="E153" i="10"/>
  <c r="F153" i="10" s="1"/>
  <c r="B153" i="10"/>
  <c r="E147" i="25"/>
  <c r="F147" i="25" s="1"/>
  <c r="H147" i="25" s="1"/>
  <c r="B147" i="25"/>
  <c r="B136" i="46"/>
  <c r="F136" i="46"/>
  <c r="H142" i="28"/>
  <c r="D143" i="28"/>
  <c r="E143" i="28" s="1"/>
  <c r="F143" i="28" s="1"/>
  <c r="G142" i="28"/>
  <c r="I142" i="28" s="1"/>
  <c r="G137" i="45"/>
  <c r="I137" i="45" s="1"/>
  <c r="D138" i="45"/>
  <c r="H143" i="29"/>
  <c r="G143" i="29"/>
  <c r="I143" i="29" s="1"/>
  <c r="D144" i="29"/>
  <c r="E137" i="43"/>
  <c r="F137" i="43" s="1"/>
  <c r="H137" i="43" s="1"/>
  <c r="B137" i="43"/>
  <c r="H148" i="8"/>
  <c r="G148" i="8"/>
  <c r="I148" i="8" s="1"/>
  <c r="D149" i="8"/>
  <c r="B149" i="8" s="1"/>
  <c r="B137" i="45"/>
  <c r="H137" i="45"/>
  <c r="E140" i="39"/>
  <c r="F140" i="39" s="1"/>
  <c r="E138" i="40"/>
  <c r="F138" i="40" s="1"/>
  <c r="J144" i="27"/>
  <c r="E138" i="38"/>
  <c r="F138" i="38" s="1"/>
  <c r="H138" i="38" s="1"/>
  <c r="B138" i="38"/>
  <c r="E146" i="23"/>
  <c r="F146" i="23" s="1"/>
  <c r="E152" i="5"/>
  <c r="F152" i="5" s="1"/>
  <c r="E135" i="51" l="1"/>
  <c r="F135" i="51"/>
  <c r="H134" i="51"/>
  <c r="I134" i="51"/>
  <c r="D144" i="52"/>
  <c r="B144" i="52" s="1"/>
  <c r="G143" i="52"/>
  <c r="G134" i="57"/>
  <c r="D135" i="57"/>
  <c r="E135" i="57" s="1"/>
  <c r="H134" i="50"/>
  <c r="I134" i="50"/>
  <c r="B135" i="50"/>
  <c r="F135" i="50"/>
  <c r="G139" i="37"/>
  <c r="I139" i="37" s="1"/>
  <c r="D140" i="37"/>
  <c r="B140" i="37" s="1"/>
  <c r="E151" i="6"/>
  <c r="F151" i="6" s="1"/>
  <c r="H151" i="6" s="1"/>
  <c r="B151" i="6"/>
  <c r="E144" i="31"/>
  <c r="F144" i="31" s="1"/>
  <c r="D145" i="31" s="1"/>
  <c r="E145" i="31" s="1"/>
  <c r="F145" i="31" s="1"/>
  <c r="D146" i="31" s="1"/>
  <c r="E146" i="31" s="1"/>
  <c r="F146" i="31" s="1"/>
  <c r="J150" i="6"/>
  <c r="H139" i="41"/>
  <c r="D140" i="41"/>
  <c r="B140" i="41" s="1"/>
  <c r="B139" i="41"/>
  <c r="E142" i="30"/>
  <c r="F142" i="30" s="1"/>
  <c r="B142" i="30"/>
  <c r="B146" i="24"/>
  <c r="D153" i="9"/>
  <c r="B153" i="9" s="1"/>
  <c r="H150" i="11"/>
  <c r="G152" i="9"/>
  <c r="I152" i="9" s="1"/>
  <c r="D151" i="11"/>
  <c r="E151" i="11" s="1"/>
  <c r="F151" i="11" s="1"/>
  <c r="H151" i="11" s="1"/>
  <c r="D154" i="7"/>
  <c r="B154" i="7" s="1"/>
  <c r="G153" i="7"/>
  <c r="I153" i="7" s="1"/>
  <c r="B153" i="7"/>
  <c r="H153" i="7"/>
  <c r="J152" i="7"/>
  <c r="E149" i="8"/>
  <c r="F149" i="8" s="1"/>
  <c r="D150" i="8" s="1"/>
  <c r="G149" i="3"/>
  <c r="I149" i="3" s="1"/>
  <c r="J149" i="3" s="1"/>
  <c r="J143" i="29"/>
  <c r="J149" i="4"/>
  <c r="D150" i="3"/>
  <c r="B150" i="3" s="1"/>
  <c r="D149" i="22"/>
  <c r="E149" i="22" s="1"/>
  <c r="F149" i="22" s="1"/>
  <c r="G148" i="22"/>
  <c r="I148" i="22" s="1"/>
  <c r="H148" i="22"/>
  <c r="E150" i="4"/>
  <c r="F150" i="4" s="1"/>
  <c r="J148" i="8"/>
  <c r="J142" i="28"/>
  <c r="H138" i="40"/>
  <c r="D139" i="40"/>
  <c r="E139" i="40" s="1"/>
  <c r="F139" i="40" s="1"/>
  <c r="G138" i="40"/>
  <c r="I138" i="40" s="1"/>
  <c r="H137" i="42"/>
  <c r="D138" i="42"/>
  <c r="B138" i="42" s="1"/>
  <c r="G137" i="42"/>
  <c r="I137" i="42" s="1"/>
  <c r="G153" i="10"/>
  <c r="I153" i="10" s="1"/>
  <c r="D154" i="10"/>
  <c r="E154" i="10" s="1"/>
  <c r="E155" i="10" s="1"/>
  <c r="G146" i="23"/>
  <c r="I146" i="23" s="1"/>
  <c r="D147" i="23"/>
  <c r="B147" i="23" s="1"/>
  <c r="E138" i="45"/>
  <c r="F138" i="45" s="1"/>
  <c r="B138" i="45"/>
  <c r="H146" i="23"/>
  <c r="D138" i="43"/>
  <c r="G137" i="43"/>
  <c r="I137" i="43" s="1"/>
  <c r="H152" i="5"/>
  <c r="D153" i="5"/>
  <c r="G152" i="5"/>
  <c r="I152" i="5" s="1"/>
  <c r="D144" i="28"/>
  <c r="G143" i="28"/>
  <c r="I143" i="28" s="1"/>
  <c r="D148" i="25"/>
  <c r="B148" i="25" s="1"/>
  <c r="G147" i="25"/>
  <c r="I147" i="25" s="1"/>
  <c r="H145" i="27"/>
  <c r="D146" i="27"/>
  <c r="E146" i="27" s="1"/>
  <c r="F146" i="27" s="1"/>
  <c r="G145" i="27"/>
  <c r="I145" i="27" s="1"/>
  <c r="H137" i="44"/>
  <c r="D138" i="44"/>
  <c r="B138" i="44" s="1"/>
  <c r="G137" i="44"/>
  <c r="I137" i="44" s="1"/>
  <c r="D141" i="39"/>
  <c r="B141" i="39" s="1"/>
  <c r="G140" i="39"/>
  <c r="I140" i="39" s="1"/>
  <c r="G138" i="38"/>
  <c r="I138" i="38" s="1"/>
  <c r="D139" i="38"/>
  <c r="B139" i="38" s="1"/>
  <c r="B143" i="28"/>
  <c r="H143" i="28"/>
  <c r="H153" i="10"/>
  <c r="G146" i="24"/>
  <c r="I146" i="24" s="1"/>
  <c r="D147" i="24"/>
  <c r="B147" i="24" s="1"/>
  <c r="E144" i="29"/>
  <c r="F144" i="29" s="1"/>
  <c r="H144" i="29" s="1"/>
  <c r="B144" i="29"/>
  <c r="H136" i="46"/>
  <c r="D137" i="46"/>
  <c r="E137" i="46" s="1"/>
  <c r="G136" i="46"/>
  <c r="I136" i="46" s="1"/>
  <c r="H140" i="39"/>
  <c r="E144" i="52" l="1"/>
  <c r="F144" i="52" s="1"/>
  <c r="D136" i="51"/>
  <c r="G135" i="51"/>
  <c r="E136" i="51"/>
  <c r="G144" i="52"/>
  <c r="D145" i="52"/>
  <c r="B145" i="52" s="1"/>
  <c r="H143" i="52"/>
  <c r="I143" i="52"/>
  <c r="B135" i="57"/>
  <c r="F135" i="57"/>
  <c r="H134" i="57"/>
  <c r="I134" i="57"/>
  <c r="E140" i="37"/>
  <c r="F140" i="37" s="1"/>
  <c r="D141" i="37" s="1"/>
  <c r="E141" i="37" s="1"/>
  <c r="F141" i="37" s="1"/>
  <c r="D136" i="50"/>
  <c r="G135" i="50"/>
  <c r="E140" i="41"/>
  <c r="F140" i="41" s="1"/>
  <c r="G140" i="41" s="1"/>
  <c r="I140" i="41" s="1"/>
  <c r="G144" i="31"/>
  <c r="I144" i="31" s="1"/>
  <c r="B145" i="31"/>
  <c r="G145" i="31"/>
  <c r="I145" i="31" s="1"/>
  <c r="H145" i="31"/>
  <c r="H144" i="31"/>
  <c r="G151" i="6"/>
  <c r="I151" i="6" s="1"/>
  <c r="J151" i="6" s="1"/>
  <c r="D152" i="6"/>
  <c r="B152" i="6" s="1"/>
  <c r="G149" i="8"/>
  <c r="I149" i="8" s="1"/>
  <c r="H149" i="8"/>
  <c r="E153" i="9"/>
  <c r="F153" i="9" s="1"/>
  <c r="H142" i="30"/>
  <c r="D143" i="30"/>
  <c r="G142" i="30"/>
  <c r="I142" i="30" s="1"/>
  <c r="G151" i="11"/>
  <c r="I151" i="11" s="1"/>
  <c r="E154" i="7"/>
  <c r="E155" i="7" s="1"/>
  <c r="D152" i="11"/>
  <c r="B152" i="11" s="1"/>
  <c r="B151" i="11"/>
  <c r="J153" i="7"/>
  <c r="E150" i="3"/>
  <c r="F150" i="3" s="1"/>
  <c r="H150" i="3" s="1"/>
  <c r="E147" i="24"/>
  <c r="F147" i="24" s="1"/>
  <c r="D148" i="24" s="1"/>
  <c r="B148" i="24" s="1"/>
  <c r="J152" i="5"/>
  <c r="H150" i="4"/>
  <c r="D151" i="4"/>
  <c r="E151" i="4" s="1"/>
  <c r="F151" i="4" s="1"/>
  <c r="G150" i="4"/>
  <c r="I150" i="4" s="1"/>
  <c r="G149" i="22"/>
  <c r="I149" i="22" s="1"/>
  <c r="D150" i="22"/>
  <c r="E138" i="44"/>
  <c r="F138" i="44" s="1"/>
  <c r="G138" i="44" s="1"/>
  <c r="I138" i="44" s="1"/>
  <c r="E148" i="25"/>
  <c r="F148" i="25" s="1"/>
  <c r="D149" i="25" s="1"/>
  <c r="B149" i="22"/>
  <c r="H149" i="22"/>
  <c r="E141" i="39"/>
  <c r="F141" i="39" s="1"/>
  <c r="H141" i="39" s="1"/>
  <c r="E147" i="23"/>
  <c r="F147" i="23" s="1"/>
  <c r="H147" i="23" s="1"/>
  <c r="E139" i="38"/>
  <c r="F139" i="38" s="1"/>
  <c r="H139" i="38" s="1"/>
  <c r="B138" i="43"/>
  <c r="E138" i="42"/>
  <c r="F138" i="42" s="1"/>
  <c r="E150" i="8"/>
  <c r="F150" i="8" s="1"/>
  <c r="H150" i="8" s="1"/>
  <c r="B150" i="8"/>
  <c r="G138" i="45"/>
  <c r="I138" i="45" s="1"/>
  <c r="D139" i="45"/>
  <c r="D145" i="29"/>
  <c r="E145" i="29" s="1"/>
  <c r="F145" i="29" s="1"/>
  <c r="G144" i="29"/>
  <c r="I144" i="29" s="1"/>
  <c r="J144" i="29" s="1"/>
  <c r="B139" i="40"/>
  <c r="H139" i="40"/>
  <c r="D147" i="27"/>
  <c r="E147" i="27" s="1"/>
  <c r="F147" i="27" s="1"/>
  <c r="G146" i="27"/>
  <c r="I146" i="27" s="1"/>
  <c r="G139" i="40"/>
  <c r="I139" i="40" s="1"/>
  <c r="D140" i="40"/>
  <c r="J145" i="27"/>
  <c r="J143" i="28"/>
  <c r="E153" i="5"/>
  <c r="F153" i="5" s="1"/>
  <c r="H153" i="5" s="1"/>
  <c r="B153" i="5"/>
  <c r="G146" i="31"/>
  <c r="I146" i="31" s="1"/>
  <c r="D147" i="31"/>
  <c r="B137" i="46"/>
  <c r="F137" i="46"/>
  <c r="B146" i="27"/>
  <c r="H146" i="27"/>
  <c r="E144" i="28"/>
  <c r="F144" i="28" s="1"/>
  <c r="B144" i="28"/>
  <c r="B154" i="10"/>
  <c r="F154" i="10"/>
  <c r="G154" i="10" s="1"/>
  <c r="E138" i="43"/>
  <c r="F138" i="43" s="1"/>
  <c r="H138" i="43" s="1"/>
  <c r="H138" i="45"/>
  <c r="J153" i="10"/>
  <c r="B146" i="31"/>
  <c r="H146" i="31"/>
  <c r="I135" i="51" l="1"/>
  <c r="H135" i="51"/>
  <c r="B136" i="51"/>
  <c r="F136" i="51"/>
  <c r="E145" i="52"/>
  <c r="F145" i="52" s="1"/>
  <c r="H144" i="52"/>
  <c r="I144" i="52"/>
  <c r="G135" i="57"/>
  <c r="D136" i="57"/>
  <c r="E136" i="57"/>
  <c r="D141" i="41"/>
  <c r="E141" i="41" s="1"/>
  <c r="F141" i="41" s="1"/>
  <c r="G141" i="41" s="1"/>
  <c r="I141" i="41" s="1"/>
  <c r="G140" i="37"/>
  <c r="I140" i="37" s="1"/>
  <c r="J144" i="31"/>
  <c r="H140" i="37"/>
  <c r="H140" i="41"/>
  <c r="J145" i="31"/>
  <c r="H135" i="50"/>
  <c r="I135" i="50"/>
  <c r="E136" i="50"/>
  <c r="F136" i="50" s="1"/>
  <c r="B136" i="50"/>
  <c r="J149" i="8"/>
  <c r="E152" i="6"/>
  <c r="F152" i="6" s="1"/>
  <c r="H152" i="6" s="1"/>
  <c r="J142" i="30"/>
  <c r="D154" i="9"/>
  <c r="E154" i="9" s="1"/>
  <c r="E155" i="9" s="1"/>
  <c r="G153" i="9"/>
  <c r="I153" i="9" s="1"/>
  <c r="H153" i="9"/>
  <c r="E152" i="11"/>
  <c r="F152" i="11" s="1"/>
  <c r="G152" i="11" s="1"/>
  <c r="I152" i="11" s="1"/>
  <c r="F154" i="7"/>
  <c r="G154" i="7" s="1"/>
  <c r="I154" i="7" s="1"/>
  <c r="B143" i="30"/>
  <c r="E143" i="30"/>
  <c r="F143" i="30" s="1"/>
  <c r="G147" i="24"/>
  <c r="I147" i="24" s="1"/>
  <c r="D151" i="3"/>
  <c r="B151" i="3" s="1"/>
  <c r="H147" i="24"/>
  <c r="D140" i="38"/>
  <c r="B140" i="38" s="1"/>
  <c r="G139" i="38"/>
  <c r="I139" i="38" s="1"/>
  <c r="G150" i="3"/>
  <c r="I150" i="3" s="1"/>
  <c r="J150" i="3" s="1"/>
  <c r="G147" i="23"/>
  <c r="I147" i="23" s="1"/>
  <c r="D148" i="23"/>
  <c r="B148" i="23" s="1"/>
  <c r="D142" i="39"/>
  <c r="B142" i="39" s="1"/>
  <c r="H148" i="25"/>
  <c r="J150" i="4"/>
  <c r="G141" i="39"/>
  <c r="I141" i="39" s="1"/>
  <c r="G148" i="25"/>
  <c r="I148" i="25" s="1"/>
  <c r="G151" i="4"/>
  <c r="I151" i="4" s="1"/>
  <c r="D152" i="4"/>
  <c r="E152" i="4" s="1"/>
  <c r="F152" i="4" s="1"/>
  <c r="B151" i="4"/>
  <c r="H151" i="4"/>
  <c r="H138" i="44"/>
  <c r="E150" i="22"/>
  <c r="F150" i="22" s="1"/>
  <c r="B150" i="22"/>
  <c r="D139" i="44"/>
  <c r="B139" i="44" s="1"/>
  <c r="J146" i="31"/>
  <c r="E148" i="24"/>
  <c r="F148" i="24" s="1"/>
  <c r="D149" i="24" s="1"/>
  <c r="E149" i="24" s="1"/>
  <c r="F149" i="24" s="1"/>
  <c r="H154" i="10"/>
  <c r="H155" i="10" s="1"/>
  <c r="I154" i="10"/>
  <c r="E147" i="31"/>
  <c r="F147" i="31" s="1"/>
  <c r="H147" i="31" s="1"/>
  <c r="B147" i="31"/>
  <c r="G145" i="29"/>
  <c r="I145" i="29" s="1"/>
  <c r="D146" i="29"/>
  <c r="H137" i="46"/>
  <c r="D138" i="46"/>
  <c r="B138" i="46" s="1"/>
  <c r="G137" i="46"/>
  <c r="I137" i="46" s="1"/>
  <c r="G147" i="27"/>
  <c r="I147" i="27" s="1"/>
  <c r="D148" i="27"/>
  <c r="B148" i="27" s="1"/>
  <c r="B145" i="29"/>
  <c r="H145" i="29"/>
  <c r="D151" i="8"/>
  <c r="E151" i="8" s="1"/>
  <c r="F151" i="8" s="1"/>
  <c r="G150" i="8"/>
  <c r="I150" i="8" s="1"/>
  <c r="J150" i="8" s="1"/>
  <c r="J146" i="27"/>
  <c r="E139" i="45"/>
  <c r="F139" i="45" s="1"/>
  <c r="H139" i="45" s="1"/>
  <c r="B139" i="45"/>
  <c r="D145" i="28"/>
  <c r="B145" i="28" s="1"/>
  <c r="G144" i="28"/>
  <c r="I144" i="28" s="1"/>
  <c r="D154" i="5"/>
  <c r="G153" i="5"/>
  <c r="I153" i="5" s="1"/>
  <c r="J153" i="5" s="1"/>
  <c r="E140" i="40"/>
  <c r="F140" i="40" s="1"/>
  <c r="H140" i="40" s="1"/>
  <c r="B140" i="40"/>
  <c r="E149" i="25"/>
  <c r="F149" i="25" s="1"/>
  <c r="B149" i="25"/>
  <c r="H144" i="28"/>
  <c r="G141" i="37"/>
  <c r="I141" i="37" s="1"/>
  <c r="D142" i="37"/>
  <c r="B142" i="37" s="1"/>
  <c r="B147" i="27"/>
  <c r="H147" i="27"/>
  <c r="B141" i="37"/>
  <c r="H141" i="37"/>
  <c r="D139" i="43"/>
  <c r="G138" i="43"/>
  <c r="I138" i="43" s="1"/>
  <c r="H138" i="42"/>
  <c r="D139" i="42"/>
  <c r="B139" i="42" s="1"/>
  <c r="G138" i="42"/>
  <c r="I138" i="42" s="1"/>
  <c r="D137" i="51" l="1"/>
  <c r="E137" i="51" s="1"/>
  <c r="G136" i="51"/>
  <c r="D146" i="52"/>
  <c r="B146" i="52" s="1"/>
  <c r="G145" i="52"/>
  <c r="E146" i="52"/>
  <c r="F146" i="52" s="1"/>
  <c r="B141" i="41"/>
  <c r="F136" i="57"/>
  <c r="B136" i="57"/>
  <c r="H135" i="57"/>
  <c r="I135" i="57"/>
  <c r="H141" i="41"/>
  <c r="D142" i="41"/>
  <c r="B142" i="41" s="1"/>
  <c r="D137" i="50"/>
  <c r="G136" i="50"/>
  <c r="G152" i="6"/>
  <c r="I152" i="6" s="1"/>
  <c r="J152" i="6" s="1"/>
  <c r="D153" i="6"/>
  <c r="E153" i="6" s="1"/>
  <c r="F153" i="6" s="1"/>
  <c r="H153" i="6" s="1"/>
  <c r="F154" i="9"/>
  <c r="G154" i="9" s="1"/>
  <c r="I154" i="9" s="1"/>
  <c r="I155" i="9" s="1"/>
  <c r="B154" i="9"/>
  <c r="H154" i="7"/>
  <c r="H155" i="7" s="1"/>
  <c r="E140" i="38"/>
  <c r="F140" i="38" s="1"/>
  <c r="D153" i="11"/>
  <c r="H152" i="11"/>
  <c r="H143" i="30"/>
  <c r="G143" i="30"/>
  <c r="I143" i="30" s="1"/>
  <c r="D144" i="30"/>
  <c r="E144" i="30" s="1"/>
  <c r="E151" i="3"/>
  <c r="F151" i="3" s="1"/>
  <c r="E148" i="23"/>
  <c r="F148" i="23" s="1"/>
  <c r="G148" i="23" s="1"/>
  <c r="I148" i="23" s="1"/>
  <c r="I155" i="7"/>
  <c r="E142" i="39"/>
  <c r="F142" i="39" s="1"/>
  <c r="H142" i="39" s="1"/>
  <c r="E139" i="44"/>
  <c r="F139" i="44" s="1"/>
  <c r="H139" i="44" s="1"/>
  <c r="H148" i="24"/>
  <c r="D153" i="4"/>
  <c r="E153" i="4" s="1"/>
  <c r="F153" i="4" s="1"/>
  <c r="G152" i="4"/>
  <c r="I152" i="4" s="1"/>
  <c r="D151" i="22"/>
  <c r="E151" i="22" s="1"/>
  <c r="F151" i="22" s="1"/>
  <c r="G150" i="22"/>
  <c r="I150" i="22" s="1"/>
  <c r="G148" i="24"/>
  <c r="I148" i="24" s="1"/>
  <c r="B152" i="4"/>
  <c r="H152" i="4"/>
  <c r="H150" i="22"/>
  <c r="J151" i="4"/>
  <c r="J147" i="27"/>
  <c r="E139" i="42"/>
  <c r="F139" i="42" s="1"/>
  <c r="H139" i="42" s="1"/>
  <c r="E142" i="37"/>
  <c r="F142" i="37" s="1"/>
  <c r="H142" i="37" s="1"/>
  <c r="E138" i="46"/>
  <c r="F138" i="46" s="1"/>
  <c r="D139" i="46" s="1"/>
  <c r="D152" i="8"/>
  <c r="B152" i="8" s="1"/>
  <c r="G151" i="8"/>
  <c r="I151" i="8" s="1"/>
  <c r="E139" i="43"/>
  <c r="F139" i="43" s="1"/>
  <c r="H139" i="43" s="1"/>
  <c r="B139" i="43"/>
  <c r="E145" i="28"/>
  <c r="F145" i="28" s="1"/>
  <c r="H149" i="25"/>
  <c r="D150" i="25"/>
  <c r="E150" i="25" s="1"/>
  <c r="F150" i="25" s="1"/>
  <c r="G149" i="25"/>
  <c r="I149" i="25" s="1"/>
  <c r="J144" i="28"/>
  <c r="D140" i="45"/>
  <c r="E140" i="45" s="1"/>
  <c r="F140" i="45" s="1"/>
  <c r="G139" i="45"/>
  <c r="I139" i="45" s="1"/>
  <c r="B154" i="5"/>
  <c r="H154" i="9"/>
  <c r="H155" i="9" s="1"/>
  <c r="B151" i="8"/>
  <c r="H151" i="8"/>
  <c r="D148" i="31"/>
  <c r="B148" i="31" s="1"/>
  <c r="G147" i="31"/>
  <c r="I147" i="31" s="1"/>
  <c r="J147" i="31" s="1"/>
  <c r="D141" i="40"/>
  <c r="G140" i="40"/>
  <c r="I140" i="40" s="1"/>
  <c r="E146" i="29"/>
  <c r="F146" i="29" s="1"/>
  <c r="H146" i="29" s="1"/>
  <c r="B146" i="29"/>
  <c r="J154" i="10"/>
  <c r="J155" i="10" s="1"/>
  <c r="I155" i="10"/>
  <c r="G149" i="24"/>
  <c r="I149" i="24" s="1"/>
  <c r="D150" i="24"/>
  <c r="E150" i="24" s="1"/>
  <c r="F150" i="24" s="1"/>
  <c r="B149" i="24"/>
  <c r="H149" i="24"/>
  <c r="E154" i="5"/>
  <c r="E155" i="5" s="1"/>
  <c r="E148" i="27"/>
  <c r="F148" i="27" s="1"/>
  <c r="J145" i="29"/>
  <c r="H136" i="51" l="1"/>
  <c r="I136" i="51"/>
  <c r="B137" i="51"/>
  <c r="F137" i="51"/>
  <c r="D147" i="52"/>
  <c r="B147" i="52" s="1"/>
  <c r="G146" i="52"/>
  <c r="H145" i="52"/>
  <c r="I145" i="52"/>
  <c r="E142" i="41"/>
  <c r="F142" i="41" s="1"/>
  <c r="G142" i="41" s="1"/>
  <c r="I142" i="41" s="1"/>
  <c r="D137" i="57"/>
  <c r="B137" i="57" s="1"/>
  <c r="G136" i="57"/>
  <c r="B153" i="6"/>
  <c r="H136" i="50"/>
  <c r="I136" i="50"/>
  <c r="E137" i="50"/>
  <c r="F137" i="50" s="1"/>
  <c r="B137" i="50"/>
  <c r="D143" i="41"/>
  <c r="E143" i="41" s="1"/>
  <c r="F143" i="41" s="1"/>
  <c r="G143" i="41" s="1"/>
  <c r="I143" i="41" s="1"/>
  <c r="G153" i="6"/>
  <c r="I153" i="6" s="1"/>
  <c r="D154" i="6"/>
  <c r="J143" i="30"/>
  <c r="J154" i="7"/>
  <c r="J155" i="7" s="1"/>
  <c r="D141" i="38"/>
  <c r="E141" i="38" s="1"/>
  <c r="F141" i="38" s="1"/>
  <c r="G141" i="38" s="1"/>
  <c r="I141" i="38" s="1"/>
  <c r="H140" i="38"/>
  <c r="G140" i="38"/>
  <c r="I140" i="38" s="1"/>
  <c r="B153" i="11"/>
  <c r="E153" i="11"/>
  <c r="F153" i="11" s="1"/>
  <c r="D149" i="23"/>
  <c r="E149" i="23" s="1"/>
  <c r="F149" i="23" s="1"/>
  <c r="D150" i="23" s="1"/>
  <c r="H148" i="23"/>
  <c r="F144" i="30"/>
  <c r="G144" i="30" s="1"/>
  <c r="I144" i="30" s="1"/>
  <c r="B144" i="30"/>
  <c r="G139" i="42"/>
  <c r="I139" i="42" s="1"/>
  <c r="D140" i="42"/>
  <c r="B140" i="42" s="1"/>
  <c r="D140" i="44"/>
  <c r="B140" i="44" s="1"/>
  <c r="H151" i="3"/>
  <c r="D152" i="3"/>
  <c r="G151" i="3"/>
  <c r="I151" i="3" s="1"/>
  <c r="G142" i="37"/>
  <c r="I142" i="37" s="1"/>
  <c r="D143" i="37"/>
  <c r="B143" i="37" s="1"/>
  <c r="H138" i="46"/>
  <c r="G139" i="44"/>
  <c r="I139" i="44" s="1"/>
  <c r="G142" i="39"/>
  <c r="I142" i="39" s="1"/>
  <c r="D143" i="39"/>
  <c r="G138" i="46"/>
  <c r="I138" i="46" s="1"/>
  <c r="B139" i="46"/>
  <c r="E139" i="46"/>
  <c r="F139" i="46" s="1"/>
  <c r="G139" i="46" s="1"/>
  <c r="I139" i="46" s="1"/>
  <c r="D152" i="22"/>
  <c r="E152" i="22" s="1"/>
  <c r="F152" i="22" s="1"/>
  <c r="G151" i="22"/>
  <c r="I151" i="22" s="1"/>
  <c r="D154" i="4"/>
  <c r="E154" i="4" s="1"/>
  <c r="E155" i="4" s="1"/>
  <c r="G153" i="4"/>
  <c r="I153" i="4" s="1"/>
  <c r="J152" i="4"/>
  <c r="B153" i="4"/>
  <c r="H153" i="4"/>
  <c r="H151" i="22"/>
  <c r="B151" i="22"/>
  <c r="E148" i="31"/>
  <c r="F148" i="31" s="1"/>
  <c r="H148" i="31" s="1"/>
  <c r="J151" i="8"/>
  <c r="E152" i="8"/>
  <c r="F152" i="8" s="1"/>
  <c r="G150" i="24"/>
  <c r="I150" i="24" s="1"/>
  <c r="D151" i="24"/>
  <c r="B151" i="24" s="1"/>
  <c r="B150" i="24"/>
  <c r="H150" i="24"/>
  <c r="B140" i="45"/>
  <c r="H140" i="45"/>
  <c r="H145" i="28"/>
  <c r="D146" i="28"/>
  <c r="B146" i="28" s="1"/>
  <c r="G145" i="28"/>
  <c r="I145" i="28" s="1"/>
  <c r="H148" i="27"/>
  <c r="G148" i="27"/>
  <c r="I148" i="27" s="1"/>
  <c r="D149" i="27"/>
  <c r="B149" i="27" s="1"/>
  <c r="G146" i="29"/>
  <c r="I146" i="29" s="1"/>
  <c r="J146" i="29" s="1"/>
  <c r="D147" i="29"/>
  <c r="E147" i="29" s="1"/>
  <c r="F147" i="29" s="1"/>
  <c r="G150" i="25"/>
  <c r="I150" i="25" s="1"/>
  <c r="D151" i="25"/>
  <c r="B151" i="25" s="1"/>
  <c r="G140" i="45"/>
  <c r="I140" i="45" s="1"/>
  <c r="D141" i="45"/>
  <c r="B141" i="45" s="1"/>
  <c r="E141" i="40"/>
  <c r="F141" i="40" s="1"/>
  <c r="H141" i="40" s="1"/>
  <c r="B141" i="40"/>
  <c r="F154" i="5"/>
  <c r="B150" i="25"/>
  <c r="H150" i="25"/>
  <c r="D140" i="43"/>
  <c r="B140" i="43" s="1"/>
  <c r="G139" i="43"/>
  <c r="I139" i="43" s="1"/>
  <c r="E147" i="52" l="1"/>
  <c r="F147" i="52" s="1"/>
  <c r="G137" i="51"/>
  <c r="D138" i="51"/>
  <c r="B138" i="51" s="1"/>
  <c r="H142" i="41"/>
  <c r="H146" i="52"/>
  <c r="I146" i="52"/>
  <c r="G147" i="52"/>
  <c r="D148" i="52"/>
  <c r="B148" i="52" s="1"/>
  <c r="E137" i="57"/>
  <c r="F137" i="57" s="1"/>
  <c r="H136" i="57"/>
  <c r="I136" i="57"/>
  <c r="D138" i="50"/>
  <c r="B138" i="50" s="1"/>
  <c r="G137" i="50"/>
  <c r="H143" i="41"/>
  <c r="B143" i="41"/>
  <c r="D144" i="41"/>
  <c r="B144" i="41" s="1"/>
  <c r="D142" i="38"/>
  <c r="E142" i="38" s="1"/>
  <c r="F142" i="38" s="1"/>
  <c r="H142" i="38" s="1"/>
  <c r="B141" i="38"/>
  <c r="H144" i="30"/>
  <c r="J144" i="30" s="1"/>
  <c r="H141" i="38"/>
  <c r="D145" i="30"/>
  <c r="B145" i="30" s="1"/>
  <c r="G149" i="23"/>
  <c r="I149" i="23" s="1"/>
  <c r="E154" i="6"/>
  <c r="E155" i="6" s="1"/>
  <c r="B154" i="6"/>
  <c r="J153" i="6"/>
  <c r="D154" i="11"/>
  <c r="G153" i="11"/>
  <c r="I153" i="11" s="1"/>
  <c r="H153" i="11"/>
  <c r="H149" i="23"/>
  <c r="B149" i="23"/>
  <c r="E140" i="42"/>
  <c r="F140" i="42" s="1"/>
  <c r="D141" i="42" s="1"/>
  <c r="E141" i="42" s="1"/>
  <c r="F141" i="42" s="1"/>
  <c r="D142" i="42" s="1"/>
  <c r="E143" i="37"/>
  <c r="F143" i="37" s="1"/>
  <c r="H143" i="37" s="1"/>
  <c r="H139" i="46"/>
  <c r="J151" i="3"/>
  <c r="B152" i="3"/>
  <c r="E152" i="3"/>
  <c r="F152" i="3" s="1"/>
  <c r="H152" i="3" s="1"/>
  <c r="E140" i="44"/>
  <c r="F140" i="44" s="1"/>
  <c r="D141" i="44" s="1"/>
  <c r="B141" i="44" s="1"/>
  <c r="G148" i="31"/>
  <c r="I148" i="31" s="1"/>
  <c r="J148" i="31" s="1"/>
  <c r="D149" i="31"/>
  <c r="E149" i="31" s="1"/>
  <c r="F149" i="31" s="1"/>
  <c r="D150" i="31" s="1"/>
  <c r="D140" i="46"/>
  <c r="B140" i="46" s="1"/>
  <c r="B143" i="39"/>
  <c r="E143" i="39"/>
  <c r="F143" i="39" s="1"/>
  <c r="H143" i="39" s="1"/>
  <c r="J153" i="4"/>
  <c r="D153" i="22"/>
  <c r="E153" i="22" s="1"/>
  <c r="F153" i="22" s="1"/>
  <c r="G152" i="22"/>
  <c r="I152" i="22" s="1"/>
  <c r="B154" i="4"/>
  <c r="F154" i="4"/>
  <c r="B152" i="22"/>
  <c r="H152" i="22"/>
  <c r="J148" i="27"/>
  <c r="J145" i="28"/>
  <c r="E151" i="25"/>
  <c r="F151" i="25" s="1"/>
  <c r="D152" i="25" s="1"/>
  <c r="G154" i="5"/>
  <c r="I154" i="5" s="1"/>
  <c r="H154" i="5"/>
  <c r="H155" i="5" s="1"/>
  <c r="G141" i="40"/>
  <c r="I141" i="40" s="1"/>
  <c r="D142" i="40"/>
  <c r="E142" i="40" s="1"/>
  <c r="F142" i="40" s="1"/>
  <c r="E141" i="45"/>
  <c r="F141" i="45" s="1"/>
  <c r="E150" i="23"/>
  <c r="F150" i="23" s="1"/>
  <c r="H150" i="23" s="1"/>
  <c r="B150" i="23"/>
  <c r="E149" i="27"/>
  <c r="F149" i="27" s="1"/>
  <c r="E151" i="24"/>
  <c r="F151" i="24" s="1"/>
  <c r="B147" i="29"/>
  <c r="H147" i="29"/>
  <c r="G147" i="29"/>
  <c r="I147" i="29" s="1"/>
  <c r="D148" i="29"/>
  <c r="E148" i="29" s="1"/>
  <c r="F148" i="29" s="1"/>
  <c r="E140" i="43"/>
  <c r="F140" i="43" s="1"/>
  <c r="H152" i="8"/>
  <c r="G152" i="8"/>
  <c r="I152" i="8" s="1"/>
  <c r="D153" i="8"/>
  <c r="E153" i="8" s="1"/>
  <c r="F153" i="8" s="1"/>
  <c r="E146" i="28"/>
  <c r="F146" i="28" s="1"/>
  <c r="E148" i="52" l="1"/>
  <c r="F148" i="52" s="1"/>
  <c r="E138" i="51"/>
  <c r="F138" i="51" s="1"/>
  <c r="I137" i="51"/>
  <c r="H137" i="51"/>
  <c r="D149" i="52"/>
  <c r="B149" i="52" s="1"/>
  <c r="G148" i="52"/>
  <c r="I147" i="52"/>
  <c r="H147" i="52"/>
  <c r="G137" i="57"/>
  <c r="D138" i="57"/>
  <c r="B138" i="57" s="1"/>
  <c r="G143" i="37"/>
  <c r="I143" i="37" s="1"/>
  <c r="D144" i="37"/>
  <c r="B144" i="37" s="1"/>
  <c r="E138" i="50"/>
  <c r="F138" i="50" s="1"/>
  <c r="D139" i="50" s="1"/>
  <c r="E144" i="41"/>
  <c r="F144" i="41" s="1"/>
  <c r="H144" i="41" s="1"/>
  <c r="B142" i="38"/>
  <c r="H137" i="50"/>
  <c r="I137" i="50"/>
  <c r="E145" i="30"/>
  <c r="F145" i="30" s="1"/>
  <c r="H145" i="30" s="1"/>
  <c r="B141" i="42"/>
  <c r="H141" i="42"/>
  <c r="G140" i="42"/>
  <c r="I140" i="42" s="1"/>
  <c r="H140" i="42"/>
  <c r="F154" i="6"/>
  <c r="G154" i="6" s="1"/>
  <c r="I154" i="6" s="1"/>
  <c r="I155" i="6" s="1"/>
  <c r="B154" i="11"/>
  <c r="E154" i="11"/>
  <c r="G141" i="42"/>
  <c r="I141" i="42" s="1"/>
  <c r="E141" i="44"/>
  <c r="F141" i="44" s="1"/>
  <c r="H141" i="44" s="1"/>
  <c r="E140" i="46"/>
  <c r="F140" i="46" s="1"/>
  <c r="H140" i="46" s="1"/>
  <c r="G149" i="31"/>
  <c r="I149" i="31" s="1"/>
  <c r="H149" i="31"/>
  <c r="G140" i="44"/>
  <c r="I140" i="44" s="1"/>
  <c r="B149" i="31"/>
  <c r="G152" i="3"/>
  <c r="I152" i="3" s="1"/>
  <c r="J152" i="3" s="1"/>
  <c r="D153" i="3"/>
  <c r="E153" i="3" s="1"/>
  <c r="F153" i="3" s="1"/>
  <c r="H140" i="44"/>
  <c r="D144" i="39"/>
  <c r="B144" i="39" s="1"/>
  <c r="G143" i="39"/>
  <c r="I143" i="39" s="1"/>
  <c r="G154" i="4"/>
  <c r="I154" i="4" s="1"/>
  <c r="H154" i="4"/>
  <c r="H155" i="4" s="1"/>
  <c r="J147" i="29"/>
  <c r="J152" i="8"/>
  <c r="D154" i="22"/>
  <c r="E154" i="22" s="1"/>
  <c r="E155" i="22" s="1"/>
  <c r="G153" i="22"/>
  <c r="I153" i="22" s="1"/>
  <c r="B153" i="22"/>
  <c r="H153" i="22"/>
  <c r="G151" i="25"/>
  <c r="I151" i="25" s="1"/>
  <c r="H151" i="25"/>
  <c r="G142" i="40"/>
  <c r="I142" i="40" s="1"/>
  <c r="D143" i="40"/>
  <c r="H140" i="43"/>
  <c r="D141" i="43"/>
  <c r="B141" i="43" s="1"/>
  <c r="G140" i="43"/>
  <c r="I140" i="43" s="1"/>
  <c r="E152" i="25"/>
  <c r="F152" i="25" s="1"/>
  <c r="H152" i="25" s="1"/>
  <c r="B152" i="25"/>
  <c r="J154" i="5"/>
  <c r="J155" i="5" s="1"/>
  <c r="I155" i="5"/>
  <c r="B148" i="29"/>
  <c r="H148" i="29"/>
  <c r="D143" i="38"/>
  <c r="E143" i="38" s="1"/>
  <c r="F143" i="38" s="1"/>
  <c r="G142" i="38"/>
  <c r="I142" i="38" s="1"/>
  <c r="G153" i="8"/>
  <c r="I153" i="8" s="1"/>
  <c r="D154" i="8"/>
  <c r="E154" i="8" s="1"/>
  <c r="E155" i="8" s="1"/>
  <c r="H146" i="28"/>
  <c r="G146" i="28"/>
  <c r="I146" i="28" s="1"/>
  <c r="D147" i="28"/>
  <c r="B147" i="28" s="1"/>
  <c r="G150" i="23"/>
  <c r="I150" i="23" s="1"/>
  <c r="D151" i="23"/>
  <c r="B151" i="23" s="1"/>
  <c r="B142" i="40"/>
  <c r="H142" i="40"/>
  <c r="E150" i="31"/>
  <c r="F150" i="31" s="1"/>
  <c r="H150" i="31" s="1"/>
  <c r="B150" i="31"/>
  <c r="B142" i="42"/>
  <c r="G148" i="29"/>
  <c r="I148" i="29" s="1"/>
  <c r="D149" i="29"/>
  <c r="E149" i="29" s="1"/>
  <c r="F149" i="29" s="1"/>
  <c r="B153" i="8"/>
  <c r="H153" i="8"/>
  <c r="E142" i="42"/>
  <c r="F142" i="42" s="1"/>
  <c r="H142" i="42" s="1"/>
  <c r="H151" i="24"/>
  <c r="D152" i="24"/>
  <c r="E152" i="24" s="1"/>
  <c r="F152" i="24" s="1"/>
  <c r="G151" i="24"/>
  <c r="I151" i="24" s="1"/>
  <c r="H141" i="45"/>
  <c r="G141" i="45"/>
  <c r="I141" i="45" s="1"/>
  <c r="D142" i="45"/>
  <c r="E142" i="45" s="1"/>
  <c r="F142" i="45" s="1"/>
  <c r="H149" i="27"/>
  <c r="D150" i="27"/>
  <c r="B150" i="27" s="1"/>
  <c r="G149" i="27"/>
  <c r="I149" i="27" s="1"/>
  <c r="E149" i="52" l="1"/>
  <c r="F149" i="52" s="1"/>
  <c r="D139" i="51"/>
  <c r="B139" i="51" s="1"/>
  <c r="G138" i="51"/>
  <c r="G149" i="52"/>
  <c r="D150" i="52"/>
  <c r="H148" i="52"/>
  <c r="I148" i="52"/>
  <c r="E138" i="57"/>
  <c r="F138" i="57" s="1"/>
  <c r="D139" i="57" s="1"/>
  <c r="B139" i="57" s="1"/>
  <c r="G138" i="50"/>
  <c r="H138" i="50" s="1"/>
  <c r="H137" i="57"/>
  <c r="I137" i="57"/>
  <c r="G144" i="41"/>
  <c r="I144" i="41" s="1"/>
  <c r="D145" i="41"/>
  <c r="B145" i="41" s="1"/>
  <c r="E144" i="37"/>
  <c r="F144" i="37" s="1"/>
  <c r="H144" i="37" s="1"/>
  <c r="D146" i="30"/>
  <c r="E146" i="30" s="1"/>
  <c r="F146" i="30" s="1"/>
  <c r="D147" i="30" s="1"/>
  <c r="E139" i="50"/>
  <c r="F139" i="50" s="1"/>
  <c r="B139" i="50"/>
  <c r="G145" i="30"/>
  <c r="I145" i="30" s="1"/>
  <c r="J145" i="30" s="1"/>
  <c r="G141" i="44"/>
  <c r="I141" i="44" s="1"/>
  <c r="D142" i="44"/>
  <c r="E142" i="44" s="1"/>
  <c r="F142" i="44" s="1"/>
  <c r="H142" i="44" s="1"/>
  <c r="H154" i="6"/>
  <c r="H155" i="6" s="1"/>
  <c r="J149" i="31"/>
  <c r="D141" i="46"/>
  <c r="E141" i="46" s="1"/>
  <c r="F141" i="46" s="1"/>
  <c r="H141" i="46" s="1"/>
  <c r="E155" i="11"/>
  <c r="F154" i="11"/>
  <c r="G154" i="11" s="1"/>
  <c r="G140" i="46"/>
  <c r="I140" i="46" s="1"/>
  <c r="D154" i="3"/>
  <c r="G153" i="3"/>
  <c r="I153" i="3" s="1"/>
  <c r="E144" i="39"/>
  <c r="F144" i="39" s="1"/>
  <c r="H144" i="39" s="1"/>
  <c r="B153" i="3"/>
  <c r="H153" i="3"/>
  <c r="E150" i="27"/>
  <c r="F150" i="27" s="1"/>
  <c r="D151" i="27" s="1"/>
  <c r="B154" i="22"/>
  <c r="F154" i="22"/>
  <c r="G154" i="22" s="1"/>
  <c r="I155" i="4"/>
  <c r="J154" i="4"/>
  <c r="J155" i="4" s="1"/>
  <c r="E141" i="43"/>
  <c r="F141" i="43" s="1"/>
  <c r="G141" i="43" s="1"/>
  <c r="I141" i="43" s="1"/>
  <c r="J149" i="27"/>
  <c r="J148" i="29"/>
  <c r="D150" i="29"/>
  <c r="B150" i="29" s="1"/>
  <c r="G149" i="29"/>
  <c r="I149" i="29" s="1"/>
  <c r="E147" i="28"/>
  <c r="F147" i="28" s="1"/>
  <c r="B149" i="29"/>
  <c r="H149" i="29"/>
  <c r="E151" i="23"/>
  <c r="F151" i="23" s="1"/>
  <c r="J146" i="28"/>
  <c r="G143" i="38"/>
  <c r="I143" i="38" s="1"/>
  <c r="D144" i="38"/>
  <c r="B152" i="24"/>
  <c r="H152" i="24"/>
  <c r="B143" i="38"/>
  <c r="H143" i="38"/>
  <c r="D143" i="42"/>
  <c r="E143" i="42" s="1"/>
  <c r="F143" i="42" s="1"/>
  <c r="G142" i="42"/>
  <c r="I142" i="42" s="1"/>
  <c r="B154" i="8"/>
  <c r="F154" i="8"/>
  <c r="G154" i="8" s="1"/>
  <c r="G152" i="25"/>
  <c r="I152" i="25" s="1"/>
  <c r="D153" i="25"/>
  <c r="G142" i="45"/>
  <c r="I142" i="45" s="1"/>
  <c r="D143" i="45"/>
  <c r="E143" i="45" s="1"/>
  <c r="F143" i="45" s="1"/>
  <c r="J153" i="8"/>
  <c r="E143" i="40"/>
  <c r="F143" i="40" s="1"/>
  <c r="H143" i="40" s="1"/>
  <c r="B143" i="40"/>
  <c r="D153" i="24"/>
  <c r="G152" i="24"/>
  <c r="I152" i="24" s="1"/>
  <c r="B142" i="45"/>
  <c r="H142" i="45"/>
  <c r="G150" i="31"/>
  <c r="I150" i="31" s="1"/>
  <c r="J150" i="31" s="1"/>
  <c r="D151" i="31"/>
  <c r="E151" i="31" s="1"/>
  <c r="F151" i="31" s="1"/>
  <c r="E139" i="51" l="1"/>
  <c r="F139" i="51" s="1"/>
  <c r="I138" i="50"/>
  <c r="G138" i="57"/>
  <c r="D140" i="51"/>
  <c r="B140" i="51" s="1"/>
  <c r="G139" i="51"/>
  <c r="E140" i="51"/>
  <c r="F140" i="51" s="1"/>
  <c r="I138" i="51"/>
  <c r="H138" i="51"/>
  <c r="B150" i="52"/>
  <c r="E150" i="52"/>
  <c r="F150" i="52" s="1"/>
  <c r="I149" i="52"/>
  <c r="H149" i="52"/>
  <c r="E145" i="41"/>
  <c r="F145" i="41" s="1"/>
  <c r="H145" i="41" s="1"/>
  <c r="E139" i="57"/>
  <c r="F139" i="57" s="1"/>
  <c r="H138" i="57"/>
  <c r="I138" i="57"/>
  <c r="G144" i="37"/>
  <c r="I144" i="37" s="1"/>
  <c r="H146" i="30"/>
  <c r="B146" i="30"/>
  <c r="G146" i="30"/>
  <c r="I146" i="30" s="1"/>
  <c r="D145" i="37"/>
  <c r="E145" i="37" s="1"/>
  <c r="F145" i="37" s="1"/>
  <c r="D140" i="50"/>
  <c r="G139" i="50"/>
  <c r="D143" i="44"/>
  <c r="B143" i="44" s="1"/>
  <c r="G142" i="44"/>
  <c r="I142" i="44" s="1"/>
  <c r="B142" i="44"/>
  <c r="B141" i="46"/>
  <c r="G141" i="46"/>
  <c r="I141" i="46" s="1"/>
  <c r="D142" i="46"/>
  <c r="B142" i="46" s="1"/>
  <c r="J154" i="6"/>
  <c r="J155" i="6" s="1"/>
  <c r="H154" i="11"/>
  <c r="H155" i="11" s="1"/>
  <c r="I154" i="11"/>
  <c r="I155" i="11" s="1"/>
  <c r="D145" i="39"/>
  <c r="E145" i="39" s="1"/>
  <c r="F145" i="39" s="1"/>
  <c r="G144" i="39"/>
  <c r="I144" i="39" s="1"/>
  <c r="E147" i="30"/>
  <c r="F147" i="30" s="1"/>
  <c r="H147" i="30" s="1"/>
  <c r="B147" i="30"/>
  <c r="J153" i="3"/>
  <c r="G150" i="27"/>
  <c r="I150" i="27" s="1"/>
  <c r="E154" i="3"/>
  <c r="E155" i="3" s="1"/>
  <c r="B154" i="3"/>
  <c r="H150" i="27"/>
  <c r="H141" i="43"/>
  <c r="D142" i="43"/>
  <c r="E142" i="43" s="1"/>
  <c r="F142" i="43" s="1"/>
  <c r="H142" i="43" s="1"/>
  <c r="E150" i="29"/>
  <c r="F150" i="29" s="1"/>
  <c r="H150" i="29" s="1"/>
  <c r="I154" i="22"/>
  <c r="I155" i="22" s="1"/>
  <c r="H154" i="22"/>
  <c r="H155" i="22" s="1"/>
  <c r="B153" i="24"/>
  <c r="E151" i="27"/>
  <c r="F151" i="27" s="1"/>
  <c r="H151" i="27" s="1"/>
  <c r="B151" i="27"/>
  <c r="B143" i="42"/>
  <c r="H143" i="42"/>
  <c r="E153" i="25"/>
  <c r="F153" i="25" s="1"/>
  <c r="H153" i="25" s="1"/>
  <c r="B153" i="25"/>
  <c r="H151" i="23"/>
  <c r="G151" i="23"/>
  <c r="I151" i="23" s="1"/>
  <c r="D152" i="23"/>
  <c r="E152" i="23" s="1"/>
  <c r="F152" i="23" s="1"/>
  <c r="J149" i="29"/>
  <c r="G143" i="42"/>
  <c r="I143" i="42" s="1"/>
  <c r="D144" i="42"/>
  <c r="E144" i="38"/>
  <c r="F144" i="38" s="1"/>
  <c r="H144" i="38" s="1"/>
  <c r="B144" i="38"/>
  <c r="D152" i="31"/>
  <c r="G151" i="31"/>
  <c r="I151" i="31" s="1"/>
  <c r="G143" i="45"/>
  <c r="I143" i="45" s="1"/>
  <c r="D144" i="45"/>
  <c r="E144" i="45" s="1"/>
  <c r="F144" i="45" s="1"/>
  <c r="D144" i="40"/>
  <c r="B144" i="40" s="1"/>
  <c r="G143" i="40"/>
  <c r="I143" i="40" s="1"/>
  <c r="B151" i="31"/>
  <c r="H151" i="31"/>
  <c r="E153" i="24"/>
  <c r="F153" i="24" s="1"/>
  <c r="B143" i="45"/>
  <c r="H143" i="45"/>
  <c r="H154" i="8"/>
  <c r="H155" i="8" s="1"/>
  <c r="I154" i="8"/>
  <c r="H147" i="28"/>
  <c r="G147" i="28"/>
  <c r="I147" i="28" s="1"/>
  <c r="D148" i="28"/>
  <c r="B148" i="28" s="1"/>
  <c r="G140" i="51" l="1"/>
  <c r="D141" i="51"/>
  <c r="B141" i="51" s="1"/>
  <c r="H139" i="51"/>
  <c r="I139" i="51"/>
  <c r="D151" i="52"/>
  <c r="B151" i="52" s="1"/>
  <c r="G150" i="52"/>
  <c r="J146" i="30"/>
  <c r="G145" i="41"/>
  <c r="I145" i="41" s="1"/>
  <c r="D146" i="41"/>
  <c r="B146" i="41" s="1"/>
  <c r="D140" i="57"/>
  <c r="G139" i="57"/>
  <c r="B145" i="37"/>
  <c r="E143" i="44"/>
  <c r="F143" i="44" s="1"/>
  <c r="G143" i="44" s="1"/>
  <c r="I143" i="44" s="1"/>
  <c r="H139" i="50"/>
  <c r="I139" i="50"/>
  <c r="E140" i="50"/>
  <c r="F140" i="50" s="1"/>
  <c r="B140" i="50"/>
  <c r="E142" i="46"/>
  <c r="F142" i="46" s="1"/>
  <c r="G142" i="46" s="1"/>
  <c r="I142" i="46" s="1"/>
  <c r="B145" i="39"/>
  <c r="F154" i="3"/>
  <c r="G154" i="3" s="1"/>
  <c r="I154" i="3" s="1"/>
  <c r="J150" i="27"/>
  <c r="D148" i="30"/>
  <c r="E148" i="30" s="1"/>
  <c r="F148" i="30" s="1"/>
  <c r="G147" i="30"/>
  <c r="I147" i="30" s="1"/>
  <c r="J147" i="30" s="1"/>
  <c r="B142" i="43"/>
  <c r="G145" i="39"/>
  <c r="I145" i="39" s="1"/>
  <c r="D146" i="39"/>
  <c r="B146" i="39" s="1"/>
  <c r="H145" i="39"/>
  <c r="D151" i="29"/>
  <c r="E151" i="29" s="1"/>
  <c r="F151" i="29" s="1"/>
  <c r="H151" i="29" s="1"/>
  <c r="G150" i="29"/>
  <c r="I150" i="29" s="1"/>
  <c r="J150" i="29" s="1"/>
  <c r="E148" i="28"/>
  <c r="F148" i="28" s="1"/>
  <c r="H148" i="28" s="1"/>
  <c r="J151" i="31"/>
  <c r="J147" i="28"/>
  <c r="G152" i="23"/>
  <c r="I152" i="23" s="1"/>
  <c r="D153" i="23"/>
  <c r="E153" i="23" s="1"/>
  <c r="F153" i="23" s="1"/>
  <c r="G153" i="25"/>
  <c r="I153" i="25" s="1"/>
  <c r="D154" i="25"/>
  <c r="B152" i="23"/>
  <c r="H152" i="23"/>
  <c r="G153" i="24"/>
  <c r="I153" i="24" s="1"/>
  <c r="D154" i="24"/>
  <c r="E154" i="24" s="1"/>
  <c r="E155" i="24" s="1"/>
  <c r="G142" i="43"/>
  <c r="I142" i="43" s="1"/>
  <c r="D143" i="43"/>
  <c r="E143" i="43" s="1"/>
  <c r="F143" i="43" s="1"/>
  <c r="G144" i="38"/>
  <c r="I144" i="38" s="1"/>
  <c r="D145" i="38"/>
  <c r="B152" i="31"/>
  <c r="D152" i="27"/>
  <c r="E152" i="27" s="1"/>
  <c r="F152" i="27" s="1"/>
  <c r="G151" i="27"/>
  <c r="I151" i="27" s="1"/>
  <c r="J151" i="27" s="1"/>
  <c r="D145" i="45"/>
  <c r="B145" i="45" s="1"/>
  <c r="G144" i="45"/>
  <c r="I144" i="45" s="1"/>
  <c r="B144" i="45"/>
  <c r="H144" i="45"/>
  <c r="E144" i="40"/>
  <c r="F144" i="40" s="1"/>
  <c r="H153" i="24"/>
  <c r="J154" i="8"/>
  <c r="J155" i="8" s="1"/>
  <c r="I155" i="8"/>
  <c r="E152" i="31"/>
  <c r="F152" i="31" s="1"/>
  <c r="E144" i="42"/>
  <c r="F144" i="42" s="1"/>
  <c r="B144" i="42"/>
  <c r="H145" i="37"/>
  <c r="D146" i="37"/>
  <c r="G145" i="37"/>
  <c r="I145" i="37" s="1"/>
  <c r="E151" i="52" l="1"/>
  <c r="F151" i="52" s="1"/>
  <c r="G151" i="52" s="1"/>
  <c r="E141" i="51"/>
  <c r="F141" i="51" s="1"/>
  <c r="E146" i="41"/>
  <c r="F146" i="41" s="1"/>
  <c r="D147" i="41" s="1"/>
  <c r="E147" i="41" s="1"/>
  <c r="F147" i="41" s="1"/>
  <c r="D148" i="41" s="1"/>
  <c r="H140" i="51"/>
  <c r="I140" i="51"/>
  <c r="I150" i="52"/>
  <c r="H150" i="52"/>
  <c r="E140" i="57"/>
  <c r="F140" i="57" s="1"/>
  <c r="B140" i="57"/>
  <c r="H139" i="57"/>
  <c r="I139" i="57"/>
  <c r="D144" i="44"/>
  <c r="E144" i="44" s="1"/>
  <c r="F144" i="44" s="1"/>
  <c r="H144" i="44" s="1"/>
  <c r="H143" i="44"/>
  <c r="H147" i="41"/>
  <c r="D143" i="46"/>
  <c r="E143" i="46" s="1"/>
  <c r="F143" i="46" s="1"/>
  <c r="D144" i="46" s="1"/>
  <c r="E144" i="46" s="1"/>
  <c r="F144" i="46" s="1"/>
  <c r="D141" i="50"/>
  <c r="G140" i="50"/>
  <c r="H142" i="46"/>
  <c r="H154" i="3"/>
  <c r="H155" i="3" s="1"/>
  <c r="D149" i="30"/>
  <c r="G148" i="30"/>
  <c r="I148" i="30" s="1"/>
  <c r="B148" i="30"/>
  <c r="H148" i="30"/>
  <c r="I155" i="3"/>
  <c r="E146" i="39"/>
  <c r="F146" i="39" s="1"/>
  <c r="G146" i="39" s="1"/>
  <c r="I146" i="39" s="1"/>
  <c r="B151" i="29"/>
  <c r="D149" i="28"/>
  <c r="B149" i="28" s="1"/>
  <c r="G148" i="28"/>
  <c r="I148" i="28" s="1"/>
  <c r="J148" i="28" s="1"/>
  <c r="G152" i="27"/>
  <c r="I152" i="27" s="1"/>
  <c r="D153" i="27"/>
  <c r="B153" i="27" s="1"/>
  <c r="D154" i="23"/>
  <c r="G153" i="23"/>
  <c r="I153" i="23" s="1"/>
  <c r="H144" i="42"/>
  <c r="G144" i="42"/>
  <c r="I144" i="42" s="1"/>
  <c r="D145" i="42"/>
  <c r="B145" i="42" s="1"/>
  <c r="G152" i="31"/>
  <c r="I152" i="31" s="1"/>
  <c r="D153" i="31"/>
  <c r="H152" i="31"/>
  <c r="B154" i="24"/>
  <c r="F154" i="24"/>
  <c r="G154" i="24" s="1"/>
  <c r="G151" i="29"/>
  <c r="I151" i="29" s="1"/>
  <c r="J151" i="29" s="1"/>
  <c r="D152" i="29"/>
  <c r="B152" i="29" s="1"/>
  <c r="G143" i="43"/>
  <c r="I143" i="43" s="1"/>
  <c r="D144" i="43"/>
  <c r="B144" i="43" s="1"/>
  <c r="E145" i="45"/>
  <c r="F145" i="45" s="1"/>
  <c r="E145" i="38"/>
  <c r="F145" i="38" s="1"/>
  <c r="H145" i="38" s="1"/>
  <c r="B145" i="38"/>
  <c r="B153" i="23"/>
  <c r="H153" i="23"/>
  <c r="B143" i="43"/>
  <c r="H143" i="43"/>
  <c r="E146" i="37"/>
  <c r="F146" i="37" s="1"/>
  <c r="H146" i="37" s="1"/>
  <c r="B146" i="37"/>
  <c r="H144" i="40"/>
  <c r="G144" i="40"/>
  <c r="I144" i="40" s="1"/>
  <c r="D145" i="40"/>
  <c r="B145" i="40" s="1"/>
  <c r="B152" i="27"/>
  <c r="H152" i="27"/>
  <c r="E148" i="41"/>
  <c r="F148" i="41" s="1"/>
  <c r="H148" i="41" s="1"/>
  <c r="B148" i="41"/>
  <c r="E154" i="25"/>
  <c r="E155" i="25" s="1"/>
  <c r="B154" i="25"/>
  <c r="D152" i="52" l="1"/>
  <c r="B152" i="52" s="1"/>
  <c r="G146" i="41"/>
  <c r="I146" i="41" s="1"/>
  <c r="B147" i="41"/>
  <c r="H146" i="41"/>
  <c r="D145" i="44"/>
  <c r="E145" i="44" s="1"/>
  <c r="F145" i="44" s="1"/>
  <c r="G144" i="44"/>
  <c r="I144" i="44" s="1"/>
  <c r="G147" i="41"/>
  <c r="I147" i="41" s="1"/>
  <c r="G141" i="51"/>
  <c r="D142" i="51"/>
  <c r="B142" i="51" s="1"/>
  <c r="E152" i="52"/>
  <c r="F152" i="52" s="1"/>
  <c r="B144" i="44"/>
  <c r="H151" i="52"/>
  <c r="I151" i="52"/>
  <c r="G140" i="57"/>
  <c r="D141" i="57"/>
  <c r="G143" i="46"/>
  <c r="I143" i="46" s="1"/>
  <c r="H143" i="46"/>
  <c r="B143" i="46"/>
  <c r="J154" i="3"/>
  <c r="J155" i="3" s="1"/>
  <c r="H140" i="50"/>
  <c r="I140" i="50"/>
  <c r="E141" i="50"/>
  <c r="F141" i="50" s="1"/>
  <c r="B141" i="50"/>
  <c r="H146" i="39"/>
  <c r="B149" i="30"/>
  <c r="E149" i="30"/>
  <c r="F149" i="30" s="1"/>
  <c r="J148" i="30"/>
  <c r="D147" i="39"/>
  <c r="B147" i="39" s="1"/>
  <c r="E149" i="28"/>
  <c r="F149" i="28" s="1"/>
  <c r="D150" i="28" s="1"/>
  <c r="E150" i="28" s="1"/>
  <c r="F150" i="28" s="1"/>
  <c r="D151" i="28" s="1"/>
  <c r="E151" i="28" s="1"/>
  <c r="F151" i="28" s="1"/>
  <c r="F154" i="25"/>
  <c r="G154" i="25" s="1"/>
  <c r="I154" i="25" s="1"/>
  <c r="I155" i="25" s="1"/>
  <c r="E152" i="29"/>
  <c r="F152" i="29" s="1"/>
  <c r="H152" i="29" s="1"/>
  <c r="E153" i="27"/>
  <c r="F153" i="27" s="1"/>
  <c r="D154" i="27" s="1"/>
  <c r="E145" i="40"/>
  <c r="F145" i="40" s="1"/>
  <c r="H145" i="40" s="1"/>
  <c r="J152" i="31"/>
  <c r="D145" i="46"/>
  <c r="E145" i="46" s="1"/>
  <c r="F145" i="46" s="1"/>
  <c r="G144" i="46"/>
  <c r="I144" i="46" s="1"/>
  <c r="E154" i="23"/>
  <c r="E155" i="23" s="1"/>
  <c r="B154" i="23"/>
  <c r="B144" i="46"/>
  <c r="H144" i="46"/>
  <c r="I154" i="24"/>
  <c r="I155" i="24" s="1"/>
  <c r="H154" i="24"/>
  <c r="H155" i="24" s="1"/>
  <c r="E153" i="31"/>
  <c r="F153" i="31" s="1"/>
  <c r="H153" i="31" s="1"/>
  <c r="B153" i="31"/>
  <c r="G145" i="44"/>
  <c r="I145" i="44" s="1"/>
  <c r="D146" i="44"/>
  <c r="G148" i="41"/>
  <c r="I148" i="41" s="1"/>
  <c r="D149" i="41"/>
  <c r="G145" i="38"/>
  <c r="I145" i="38" s="1"/>
  <c r="D146" i="38"/>
  <c r="B146" i="38" s="1"/>
  <c r="G146" i="37"/>
  <c r="I146" i="37" s="1"/>
  <c r="D147" i="37"/>
  <c r="E147" i="37" s="1"/>
  <c r="F147" i="37" s="1"/>
  <c r="H145" i="45"/>
  <c r="D146" i="45"/>
  <c r="G145" i="45"/>
  <c r="I145" i="45" s="1"/>
  <c r="E144" i="43"/>
  <c r="F144" i="43" s="1"/>
  <c r="E145" i="42"/>
  <c r="F145" i="42" s="1"/>
  <c r="J152" i="27"/>
  <c r="B145" i="44" l="1"/>
  <c r="H145" i="44"/>
  <c r="H141" i="51"/>
  <c r="I141" i="51"/>
  <c r="E142" i="51"/>
  <c r="F142" i="51" s="1"/>
  <c r="G152" i="52"/>
  <c r="D153" i="52"/>
  <c r="B153" i="52" s="1"/>
  <c r="E141" i="57"/>
  <c r="F141" i="57" s="1"/>
  <c r="B141" i="57"/>
  <c r="H140" i="57"/>
  <c r="I140" i="57"/>
  <c r="D142" i="50"/>
  <c r="G141" i="50"/>
  <c r="H149" i="28"/>
  <c r="D150" i="30"/>
  <c r="G149" i="30"/>
  <c r="I149" i="30" s="1"/>
  <c r="H149" i="30"/>
  <c r="H150" i="28"/>
  <c r="G149" i="28"/>
  <c r="I149" i="28" s="1"/>
  <c r="E147" i="39"/>
  <c r="F147" i="39" s="1"/>
  <c r="G147" i="39" s="1"/>
  <c r="I147" i="39" s="1"/>
  <c r="G150" i="28"/>
  <c r="I150" i="28" s="1"/>
  <c r="G152" i="29"/>
  <c r="I152" i="29" s="1"/>
  <c r="J152" i="29" s="1"/>
  <c r="B150" i="28"/>
  <c r="H154" i="25"/>
  <c r="H155" i="25" s="1"/>
  <c r="D153" i="29"/>
  <c r="B153" i="29" s="1"/>
  <c r="G153" i="27"/>
  <c r="I153" i="27" s="1"/>
  <c r="G145" i="40"/>
  <c r="I145" i="40" s="1"/>
  <c r="D146" i="40"/>
  <c r="B146" i="40" s="1"/>
  <c r="F154" i="23"/>
  <c r="G154" i="23" s="1"/>
  <c r="H154" i="23" s="1"/>
  <c r="H155" i="23" s="1"/>
  <c r="G147" i="37"/>
  <c r="I147" i="37" s="1"/>
  <c r="D148" i="37"/>
  <c r="B148" i="37" s="1"/>
  <c r="E149" i="41"/>
  <c r="F149" i="41" s="1"/>
  <c r="B149" i="41"/>
  <c r="E146" i="44"/>
  <c r="F146" i="44" s="1"/>
  <c r="H146" i="44" s="1"/>
  <c r="B146" i="44"/>
  <c r="B147" i="37"/>
  <c r="H147" i="37"/>
  <c r="B154" i="27"/>
  <c r="H145" i="42"/>
  <c r="G145" i="42"/>
  <c r="I145" i="42" s="1"/>
  <c r="D146" i="42"/>
  <c r="B146" i="42" s="1"/>
  <c r="D146" i="46"/>
  <c r="B146" i="46" s="1"/>
  <c r="G145" i="46"/>
  <c r="I145" i="46" s="1"/>
  <c r="H144" i="43"/>
  <c r="D145" i="43"/>
  <c r="G144" i="43"/>
  <c r="I144" i="43" s="1"/>
  <c r="B151" i="28"/>
  <c r="H151" i="28"/>
  <c r="B145" i="46"/>
  <c r="H145" i="46"/>
  <c r="E146" i="38"/>
  <c r="F146" i="38" s="1"/>
  <c r="E154" i="27"/>
  <c r="E155" i="27" s="1"/>
  <c r="D152" i="28"/>
  <c r="E152" i="28" s="1"/>
  <c r="F152" i="28" s="1"/>
  <c r="G151" i="28"/>
  <c r="I151" i="28" s="1"/>
  <c r="D154" i="31"/>
  <c r="G153" i="31"/>
  <c r="I153" i="31" s="1"/>
  <c r="J153" i="31" s="1"/>
  <c r="E146" i="45"/>
  <c r="F146" i="45" s="1"/>
  <c r="H146" i="45" s="1"/>
  <c r="B146" i="45"/>
  <c r="E153" i="52" l="1"/>
  <c r="F153" i="52" s="1"/>
  <c r="D154" i="52" s="1"/>
  <c r="D143" i="51"/>
  <c r="B143" i="51" s="1"/>
  <c r="G142" i="51"/>
  <c r="I152" i="52"/>
  <c r="H152" i="52"/>
  <c r="G141" i="57"/>
  <c r="D142" i="57"/>
  <c r="H141" i="50"/>
  <c r="I141" i="50"/>
  <c r="E142" i="50"/>
  <c r="F142" i="50" s="1"/>
  <c r="B142" i="50"/>
  <c r="J149" i="28"/>
  <c r="J150" i="28"/>
  <c r="J149" i="30"/>
  <c r="D148" i="39"/>
  <c r="E148" i="39" s="1"/>
  <c r="F148" i="39" s="1"/>
  <c r="E150" i="30"/>
  <c r="F150" i="30" s="1"/>
  <c r="H150" i="30" s="1"/>
  <c r="B150" i="30"/>
  <c r="E146" i="40"/>
  <c r="F146" i="40" s="1"/>
  <c r="G146" i="40" s="1"/>
  <c r="I146" i="40" s="1"/>
  <c r="H147" i="39"/>
  <c r="E146" i="46"/>
  <c r="F146" i="46" s="1"/>
  <c r="H146" i="46" s="1"/>
  <c r="H153" i="27"/>
  <c r="J153" i="27" s="1"/>
  <c r="E153" i="29"/>
  <c r="F153" i="29" s="1"/>
  <c r="I154" i="23"/>
  <c r="I155" i="23" s="1"/>
  <c r="E148" i="37"/>
  <c r="F148" i="37" s="1"/>
  <c r="H148" i="37" s="1"/>
  <c r="J151" i="28"/>
  <c r="E146" i="42"/>
  <c r="F146" i="42" s="1"/>
  <c r="G146" i="42" s="1"/>
  <c r="I146" i="42" s="1"/>
  <c r="D147" i="45"/>
  <c r="G146" i="45"/>
  <c r="I146" i="45" s="1"/>
  <c r="F154" i="27"/>
  <c r="G154" i="27" s="1"/>
  <c r="G146" i="44"/>
  <c r="I146" i="44" s="1"/>
  <c r="D147" i="44"/>
  <c r="B147" i="44" s="1"/>
  <c r="B145" i="43"/>
  <c r="E154" i="31"/>
  <c r="E155" i="31" s="1"/>
  <c r="B154" i="31"/>
  <c r="H146" i="38"/>
  <c r="D147" i="38"/>
  <c r="B147" i="38" s="1"/>
  <c r="G146" i="38"/>
  <c r="I146" i="38" s="1"/>
  <c r="H149" i="41"/>
  <c r="D150" i="41"/>
  <c r="E150" i="41" s="1"/>
  <c r="F150" i="41" s="1"/>
  <c r="G149" i="41"/>
  <c r="I149" i="41" s="1"/>
  <c r="D153" i="28"/>
  <c r="B153" i="28" s="1"/>
  <c r="G152" i="28"/>
  <c r="I152" i="28" s="1"/>
  <c r="B152" i="28"/>
  <c r="H152" i="28"/>
  <c r="E145" i="43"/>
  <c r="F145" i="43" s="1"/>
  <c r="H145" i="43" s="1"/>
  <c r="G153" i="52" l="1"/>
  <c r="I153" i="52" s="1"/>
  <c r="I142" i="51"/>
  <c r="H142" i="51"/>
  <c r="E143" i="51"/>
  <c r="F143" i="51" s="1"/>
  <c r="B154" i="52"/>
  <c r="E154" i="52"/>
  <c r="E155" i="52" s="1"/>
  <c r="E142" i="57"/>
  <c r="F142" i="57" s="1"/>
  <c r="B142" i="57"/>
  <c r="H141" i="57"/>
  <c r="I141" i="57"/>
  <c r="D143" i="50"/>
  <c r="G142" i="50"/>
  <c r="B148" i="39"/>
  <c r="D147" i="40"/>
  <c r="E147" i="40" s="1"/>
  <c r="F147" i="40" s="1"/>
  <c r="D148" i="40" s="1"/>
  <c r="H146" i="40"/>
  <c r="H148" i="39"/>
  <c r="G146" i="46"/>
  <c r="I146" i="46" s="1"/>
  <c r="D151" i="30"/>
  <c r="E151" i="30" s="1"/>
  <c r="F151" i="30" s="1"/>
  <c r="G150" i="30"/>
  <c r="I150" i="30" s="1"/>
  <c r="J150" i="30" s="1"/>
  <c r="D147" i="46"/>
  <c r="B147" i="46" s="1"/>
  <c r="H153" i="29"/>
  <c r="D154" i="29"/>
  <c r="G153" i="29"/>
  <c r="I153" i="29" s="1"/>
  <c r="D149" i="39"/>
  <c r="B149" i="39" s="1"/>
  <c r="G148" i="39"/>
  <c r="I148" i="39" s="1"/>
  <c r="D149" i="37"/>
  <c r="E149" i="37" s="1"/>
  <c r="F149" i="37" s="1"/>
  <c r="G149" i="37" s="1"/>
  <c r="I149" i="37" s="1"/>
  <c r="G148" i="37"/>
  <c r="I148" i="37" s="1"/>
  <c r="H146" i="42"/>
  <c r="D147" i="42"/>
  <c r="E147" i="42" s="1"/>
  <c r="F147" i="42" s="1"/>
  <c r="G147" i="42" s="1"/>
  <c r="I147" i="42" s="1"/>
  <c r="J152" i="28"/>
  <c r="E153" i="28"/>
  <c r="F153" i="28" s="1"/>
  <c r="H153" i="28" s="1"/>
  <c r="F154" i="31"/>
  <c r="G154" i="31" s="1"/>
  <c r="H154" i="31" s="1"/>
  <c r="H155" i="31" s="1"/>
  <c r="E147" i="44"/>
  <c r="F147" i="44" s="1"/>
  <c r="D148" i="44" s="1"/>
  <c r="B150" i="41"/>
  <c r="H150" i="41"/>
  <c r="H154" i="27"/>
  <c r="H155" i="27" s="1"/>
  <c r="I154" i="27"/>
  <c r="G150" i="41"/>
  <c r="I150" i="41" s="1"/>
  <c r="D151" i="41"/>
  <c r="E147" i="38"/>
  <c r="F147" i="38" s="1"/>
  <c r="D146" i="43"/>
  <c r="E146" i="43" s="1"/>
  <c r="F146" i="43" s="1"/>
  <c r="G145" i="43"/>
  <c r="I145" i="43" s="1"/>
  <c r="E147" i="45"/>
  <c r="F147" i="45" s="1"/>
  <c r="H147" i="45" s="1"/>
  <c r="B147" i="45"/>
  <c r="H153" i="52" l="1"/>
  <c r="F154" i="52"/>
  <c r="G154" i="52" s="1"/>
  <c r="D144" i="51"/>
  <c r="E144" i="51" s="1"/>
  <c r="G143" i="51"/>
  <c r="H154" i="52"/>
  <c r="I154" i="52"/>
  <c r="I155" i="52" s="1"/>
  <c r="G142" i="57"/>
  <c r="D143" i="57"/>
  <c r="B143" i="57" s="1"/>
  <c r="G147" i="40"/>
  <c r="I147" i="40" s="1"/>
  <c r="B147" i="40"/>
  <c r="H142" i="50"/>
  <c r="I142" i="50"/>
  <c r="E143" i="50"/>
  <c r="F143" i="50" s="1"/>
  <c r="B143" i="50"/>
  <c r="H147" i="40"/>
  <c r="E147" i="46"/>
  <c r="F147" i="46" s="1"/>
  <c r="H147" i="46" s="1"/>
  <c r="E149" i="39"/>
  <c r="F149" i="39" s="1"/>
  <c r="D150" i="39" s="1"/>
  <c r="E150" i="39" s="1"/>
  <c r="F150" i="39" s="1"/>
  <c r="D148" i="42"/>
  <c r="E148" i="42" s="1"/>
  <c r="F148" i="42" s="1"/>
  <c r="D149" i="42" s="1"/>
  <c r="B149" i="42" s="1"/>
  <c r="D152" i="30"/>
  <c r="E152" i="30" s="1"/>
  <c r="F152" i="30" s="1"/>
  <c r="G151" i="30"/>
  <c r="I151" i="30" s="1"/>
  <c r="B151" i="30"/>
  <c r="H151" i="30"/>
  <c r="J153" i="29"/>
  <c r="D150" i="37"/>
  <c r="B150" i="37" s="1"/>
  <c r="H149" i="37"/>
  <c r="B149" i="37"/>
  <c r="B154" i="29"/>
  <c r="E154" i="29"/>
  <c r="B147" i="42"/>
  <c r="G153" i="28"/>
  <c r="I153" i="28" s="1"/>
  <c r="J153" i="28" s="1"/>
  <c r="D154" i="28"/>
  <c r="E154" i="28" s="1"/>
  <c r="E155" i="28" s="1"/>
  <c r="G147" i="44"/>
  <c r="I147" i="44" s="1"/>
  <c r="H147" i="44"/>
  <c r="I154" i="31"/>
  <c r="I155" i="31" s="1"/>
  <c r="H147" i="42"/>
  <c r="E148" i="40"/>
  <c r="F148" i="40" s="1"/>
  <c r="H148" i="40" s="1"/>
  <c r="B148" i="40"/>
  <c r="H147" i="38"/>
  <c r="D148" i="38"/>
  <c r="E148" i="38" s="1"/>
  <c r="F148" i="38" s="1"/>
  <c r="G147" i="38"/>
  <c r="I147" i="38" s="1"/>
  <c r="E151" i="41"/>
  <c r="F151" i="41" s="1"/>
  <c r="H151" i="41" s="1"/>
  <c r="B151" i="41"/>
  <c r="E148" i="44"/>
  <c r="F148" i="44" s="1"/>
  <c r="H148" i="44" s="1"/>
  <c r="B148" i="44"/>
  <c r="D148" i="45"/>
  <c r="G147" i="45"/>
  <c r="I147" i="45" s="1"/>
  <c r="J154" i="27"/>
  <c r="J155" i="27" s="1"/>
  <c r="I155" i="27"/>
  <c r="G146" i="43"/>
  <c r="I146" i="43" s="1"/>
  <c r="D147" i="43"/>
  <c r="E147" i="43" s="1"/>
  <c r="F147" i="43" s="1"/>
  <c r="B146" i="43"/>
  <c r="H146" i="43"/>
  <c r="H155" i="52" l="1"/>
  <c r="I143" i="51"/>
  <c r="H143" i="51"/>
  <c r="F144" i="51"/>
  <c r="B144" i="51"/>
  <c r="E143" i="57"/>
  <c r="F143" i="57" s="1"/>
  <c r="D144" i="57" s="1"/>
  <c r="H142" i="57"/>
  <c r="I142" i="57"/>
  <c r="H149" i="39"/>
  <c r="D144" i="50"/>
  <c r="G143" i="50"/>
  <c r="H148" i="42"/>
  <c r="G148" i="42"/>
  <c r="I148" i="42" s="1"/>
  <c r="G149" i="39"/>
  <c r="I149" i="39" s="1"/>
  <c r="B148" i="42"/>
  <c r="G147" i="46"/>
  <c r="I147" i="46" s="1"/>
  <c r="D153" i="30"/>
  <c r="G152" i="30"/>
  <c r="I152" i="30" s="1"/>
  <c r="J151" i="30"/>
  <c r="D148" i="46"/>
  <c r="B148" i="46" s="1"/>
  <c r="B152" i="30"/>
  <c r="H152" i="30"/>
  <c r="E150" i="37"/>
  <c r="F150" i="37" s="1"/>
  <c r="H150" i="37" s="1"/>
  <c r="E155" i="29"/>
  <c r="F154" i="29"/>
  <c r="G154" i="29" s="1"/>
  <c r="G150" i="39"/>
  <c r="I150" i="39" s="1"/>
  <c r="D151" i="39"/>
  <c r="E151" i="39" s="1"/>
  <c r="F151" i="39" s="1"/>
  <c r="B150" i="39"/>
  <c r="H150" i="39"/>
  <c r="B154" i="28"/>
  <c r="F154" i="28"/>
  <c r="G154" i="28" s="1"/>
  <c r="H154" i="28" s="1"/>
  <c r="H155" i="28" s="1"/>
  <c r="J154" i="31"/>
  <c r="J155" i="31" s="1"/>
  <c r="E149" i="42"/>
  <c r="F149" i="42" s="1"/>
  <c r="H149" i="42" s="1"/>
  <c r="B148" i="38"/>
  <c r="H148" i="38"/>
  <c r="B148" i="45"/>
  <c r="G151" i="41"/>
  <c r="I151" i="41" s="1"/>
  <c r="D152" i="41"/>
  <c r="B152" i="41" s="1"/>
  <c r="D148" i="43"/>
  <c r="E148" i="43" s="1"/>
  <c r="F148" i="43" s="1"/>
  <c r="G147" i="43"/>
  <c r="I147" i="43" s="1"/>
  <c r="D149" i="38"/>
  <c r="G148" i="38"/>
  <c r="I148" i="38" s="1"/>
  <c r="B147" i="43"/>
  <c r="H147" i="43"/>
  <c r="E148" i="45"/>
  <c r="F148" i="45" s="1"/>
  <c r="H148" i="45" s="1"/>
  <c r="D149" i="44"/>
  <c r="B149" i="44" s="1"/>
  <c r="G148" i="44"/>
  <c r="I148" i="44" s="1"/>
  <c r="D149" i="40"/>
  <c r="B149" i="40" s="1"/>
  <c r="G148" i="40"/>
  <c r="I148" i="40" s="1"/>
  <c r="G144" i="51" l="1"/>
  <c r="D145" i="51"/>
  <c r="B145" i="51" s="1"/>
  <c r="G143" i="57"/>
  <c r="H143" i="57" s="1"/>
  <c r="E144" i="57"/>
  <c r="F144" i="57" s="1"/>
  <c r="B144" i="57"/>
  <c r="H143" i="50"/>
  <c r="I143" i="50"/>
  <c r="E144" i="50"/>
  <c r="F144" i="50" s="1"/>
  <c r="B144" i="50"/>
  <c r="E148" i="46"/>
  <c r="F148" i="46" s="1"/>
  <c r="H148" i="46" s="1"/>
  <c r="J152" i="30"/>
  <c r="E153" i="30"/>
  <c r="F153" i="30" s="1"/>
  <c r="H153" i="30" s="1"/>
  <c r="B153" i="30"/>
  <c r="I154" i="28"/>
  <c r="J154" i="28" s="1"/>
  <c r="J155" i="28" s="1"/>
  <c r="D151" i="37"/>
  <c r="E151" i="37" s="1"/>
  <c r="F151" i="37" s="1"/>
  <c r="H151" i="37" s="1"/>
  <c r="G150" i="37"/>
  <c r="I150" i="37" s="1"/>
  <c r="I154" i="29"/>
  <c r="H154" i="29"/>
  <c r="H155" i="29" s="1"/>
  <c r="G151" i="39"/>
  <c r="I151" i="39" s="1"/>
  <c r="D152" i="39"/>
  <c r="B151" i="39"/>
  <c r="H151" i="39"/>
  <c r="G149" i="42"/>
  <c r="I149" i="42" s="1"/>
  <c r="D150" i="42"/>
  <c r="E150" i="42" s="1"/>
  <c r="F150" i="42" s="1"/>
  <c r="G150" i="42" s="1"/>
  <c r="I150" i="42" s="1"/>
  <c r="E152" i="41"/>
  <c r="F152" i="41" s="1"/>
  <c r="D153" i="41" s="1"/>
  <c r="B153" i="41" s="1"/>
  <c r="E149" i="40"/>
  <c r="F149" i="40" s="1"/>
  <c r="G149" i="40" s="1"/>
  <c r="I149" i="40" s="1"/>
  <c r="G148" i="43"/>
  <c r="I148" i="43" s="1"/>
  <c r="D149" i="43"/>
  <c r="E149" i="43" s="1"/>
  <c r="F149" i="43" s="1"/>
  <c r="B149" i="38"/>
  <c r="D149" i="45"/>
  <c r="E149" i="45" s="1"/>
  <c r="F149" i="45" s="1"/>
  <c r="G148" i="45"/>
  <c r="I148" i="45" s="1"/>
  <c r="E149" i="38"/>
  <c r="F149" i="38" s="1"/>
  <c r="H149" i="38" s="1"/>
  <c r="B148" i="43"/>
  <c r="H148" i="43"/>
  <c r="E149" i="44"/>
  <c r="F149" i="44" s="1"/>
  <c r="I143" i="57" l="1"/>
  <c r="E145" i="51"/>
  <c r="F145" i="51" s="1"/>
  <c r="H144" i="51"/>
  <c r="I144" i="51"/>
  <c r="G144" i="57"/>
  <c r="D145" i="57"/>
  <c r="D149" i="46"/>
  <c r="B149" i="46" s="1"/>
  <c r="D145" i="50"/>
  <c r="G144" i="50"/>
  <c r="G148" i="46"/>
  <c r="I148" i="46" s="1"/>
  <c r="I155" i="28"/>
  <c r="B151" i="37"/>
  <c r="D154" i="30"/>
  <c r="G153" i="30"/>
  <c r="I153" i="30" s="1"/>
  <c r="J153" i="30" s="1"/>
  <c r="G151" i="37"/>
  <c r="I151" i="37" s="1"/>
  <c r="D152" i="37"/>
  <c r="B152" i="37" s="1"/>
  <c r="I155" i="29"/>
  <c r="J154" i="29"/>
  <c r="J155" i="29" s="1"/>
  <c r="G152" i="41"/>
  <c r="I152" i="41" s="1"/>
  <c r="H152" i="41"/>
  <c r="B150" i="42"/>
  <c r="D151" i="42"/>
  <c r="B151" i="42" s="1"/>
  <c r="B152" i="39"/>
  <c r="E152" i="39"/>
  <c r="F152" i="39" s="1"/>
  <c r="D150" i="40"/>
  <c r="B150" i="40" s="1"/>
  <c r="H150" i="42"/>
  <c r="H149" i="40"/>
  <c r="B149" i="45"/>
  <c r="H149" i="45"/>
  <c r="D150" i="45"/>
  <c r="G149" i="45"/>
  <c r="I149" i="45" s="1"/>
  <c r="H149" i="44"/>
  <c r="G149" i="44"/>
  <c r="I149" i="44" s="1"/>
  <c r="D150" i="44"/>
  <c r="B150" i="44" s="1"/>
  <c r="G149" i="38"/>
  <c r="I149" i="38" s="1"/>
  <c r="D150" i="38"/>
  <c r="E150" i="38" s="1"/>
  <c r="F150" i="38" s="1"/>
  <c r="G149" i="43"/>
  <c r="I149" i="43" s="1"/>
  <c r="D150" i="43"/>
  <c r="E153" i="41"/>
  <c r="F153" i="41" s="1"/>
  <c r="B149" i="43"/>
  <c r="H149" i="43"/>
  <c r="D146" i="51" l="1"/>
  <c r="B146" i="51" s="1"/>
  <c r="G145" i="51"/>
  <c r="E145" i="57"/>
  <c r="F145" i="57" s="1"/>
  <c r="B145" i="57"/>
  <c r="H144" i="57"/>
  <c r="I144" i="57"/>
  <c r="E149" i="46"/>
  <c r="F149" i="46" s="1"/>
  <c r="H149" i="46" s="1"/>
  <c r="H144" i="50"/>
  <c r="I144" i="50"/>
  <c r="E145" i="50"/>
  <c r="F145" i="50" s="1"/>
  <c r="B145" i="50"/>
  <c r="E152" i="37"/>
  <c r="F152" i="37" s="1"/>
  <c r="H152" i="37" s="1"/>
  <c r="E154" i="30"/>
  <c r="E155" i="30" s="1"/>
  <c r="B154" i="30"/>
  <c r="E151" i="42"/>
  <c r="F151" i="42" s="1"/>
  <c r="H152" i="39"/>
  <c r="D153" i="39"/>
  <c r="B153" i="39" s="1"/>
  <c r="G152" i="39"/>
  <c r="I152" i="39" s="1"/>
  <c r="E150" i="40"/>
  <c r="F150" i="40" s="1"/>
  <c r="H150" i="40" s="1"/>
  <c r="E150" i="44"/>
  <c r="F150" i="44" s="1"/>
  <c r="H150" i="44" s="1"/>
  <c r="D151" i="38"/>
  <c r="E151" i="38" s="1"/>
  <c r="F151" i="38" s="1"/>
  <c r="G150" i="38"/>
  <c r="I150" i="38" s="1"/>
  <c r="B150" i="38"/>
  <c r="H150" i="38"/>
  <c r="H153" i="41"/>
  <c r="G153" i="41"/>
  <c r="I153" i="41" s="1"/>
  <c r="D154" i="41"/>
  <c r="E150" i="43"/>
  <c r="F150" i="43" s="1"/>
  <c r="B150" i="43"/>
  <c r="E150" i="45"/>
  <c r="F150" i="45" s="1"/>
  <c r="H150" i="45" s="1"/>
  <c r="B150" i="45"/>
  <c r="E146" i="51" l="1"/>
  <c r="F146" i="51" s="1"/>
  <c r="H145" i="51"/>
  <c r="I145" i="51"/>
  <c r="D146" i="57"/>
  <c r="G145" i="57"/>
  <c r="G149" i="46"/>
  <c r="I149" i="46" s="1"/>
  <c r="D150" i="46"/>
  <c r="B150" i="46" s="1"/>
  <c r="G145" i="50"/>
  <c r="D146" i="50"/>
  <c r="B146" i="50" s="1"/>
  <c r="D153" i="37"/>
  <c r="B153" i="37" s="1"/>
  <c r="G152" i="37"/>
  <c r="I152" i="37" s="1"/>
  <c r="F154" i="30"/>
  <c r="G154" i="30" s="1"/>
  <c r="I154" i="30" s="1"/>
  <c r="G150" i="40"/>
  <c r="I150" i="40" s="1"/>
  <c r="D151" i="40"/>
  <c r="B151" i="40" s="1"/>
  <c r="E153" i="39"/>
  <c r="F153" i="39" s="1"/>
  <c r="G151" i="42"/>
  <c r="I151" i="42" s="1"/>
  <c r="H151" i="42"/>
  <c r="D152" i="42"/>
  <c r="D151" i="44"/>
  <c r="B151" i="44" s="1"/>
  <c r="G150" i="44"/>
  <c r="I150" i="44" s="1"/>
  <c r="E154" i="41"/>
  <c r="E155" i="41" s="1"/>
  <c r="B154" i="41"/>
  <c r="D152" i="38"/>
  <c r="G151" i="38"/>
  <c r="I151" i="38" s="1"/>
  <c r="D151" i="43"/>
  <c r="E151" i="43" s="1"/>
  <c r="F151" i="43" s="1"/>
  <c r="G150" i="43"/>
  <c r="I150" i="43" s="1"/>
  <c r="G150" i="45"/>
  <c r="I150" i="45" s="1"/>
  <c r="D151" i="45"/>
  <c r="B151" i="45" s="1"/>
  <c r="H150" i="43"/>
  <c r="B151" i="38"/>
  <c r="H151" i="38"/>
  <c r="D147" i="51" l="1"/>
  <c r="B147" i="51" s="1"/>
  <c r="G146" i="51"/>
  <c r="E147" i="51"/>
  <c r="F147" i="51" s="1"/>
  <c r="H145" i="57"/>
  <c r="I145" i="57"/>
  <c r="E146" i="57"/>
  <c r="F146" i="57" s="1"/>
  <c r="B146" i="57"/>
  <c r="E150" i="46"/>
  <c r="F150" i="46" s="1"/>
  <c r="H150" i="46" s="1"/>
  <c r="E146" i="50"/>
  <c r="F146" i="50" s="1"/>
  <c r="G146" i="50" s="1"/>
  <c r="H145" i="50"/>
  <c r="I145" i="50"/>
  <c r="E153" i="37"/>
  <c r="F153" i="37" s="1"/>
  <c r="H154" i="30"/>
  <c r="H155" i="30" s="1"/>
  <c r="I155" i="30"/>
  <c r="E151" i="40"/>
  <c r="F151" i="40" s="1"/>
  <c r="H151" i="40" s="1"/>
  <c r="E151" i="44"/>
  <c r="F151" i="44" s="1"/>
  <c r="H151" i="44" s="1"/>
  <c r="E152" i="42"/>
  <c r="F152" i="42" s="1"/>
  <c r="B152" i="42"/>
  <c r="H153" i="39"/>
  <c r="G153" i="39"/>
  <c r="I153" i="39" s="1"/>
  <c r="D154" i="39"/>
  <c r="E151" i="45"/>
  <c r="F151" i="45" s="1"/>
  <c r="H151" i="45" s="1"/>
  <c r="D152" i="43"/>
  <c r="E152" i="43" s="1"/>
  <c r="F152" i="43" s="1"/>
  <c r="G151" i="43"/>
  <c r="I151" i="43" s="1"/>
  <c r="E152" i="38"/>
  <c r="F152" i="38" s="1"/>
  <c r="H152" i="38" s="1"/>
  <c r="B152" i="38"/>
  <c r="F154" i="41"/>
  <c r="G154" i="41" s="1"/>
  <c r="H151" i="43"/>
  <c r="B151" i="43"/>
  <c r="G147" i="51" l="1"/>
  <c r="D148" i="51"/>
  <c r="B148" i="51" s="1"/>
  <c r="I146" i="51"/>
  <c r="H146" i="51"/>
  <c r="G146" i="57"/>
  <c r="D147" i="57"/>
  <c r="E147" i="57" s="1"/>
  <c r="D151" i="46"/>
  <c r="E151" i="46" s="1"/>
  <c r="F151" i="46" s="1"/>
  <c r="G151" i="46" s="1"/>
  <c r="I151" i="46" s="1"/>
  <c r="G150" i="46"/>
  <c r="I150" i="46" s="1"/>
  <c r="D147" i="50"/>
  <c r="E147" i="50" s="1"/>
  <c r="F147" i="50" s="1"/>
  <c r="I146" i="50"/>
  <c r="H146" i="50"/>
  <c r="G151" i="40"/>
  <c r="I151" i="40" s="1"/>
  <c r="D152" i="40"/>
  <c r="E152" i="40" s="1"/>
  <c r="F152" i="40" s="1"/>
  <c r="G152" i="40" s="1"/>
  <c r="I152" i="40" s="1"/>
  <c r="H153" i="37"/>
  <c r="G153" i="37"/>
  <c r="I153" i="37" s="1"/>
  <c r="D154" i="37"/>
  <c r="J154" i="30"/>
  <c r="J155" i="30" s="1"/>
  <c r="D152" i="44"/>
  <c r="E152" i="44" s="1"/>
  <c r="F152" i="44" s="1"/>
  <c r="H152" i="44" s="1"/>
  <c r="G151" i="44"/>
  <c r="I151" i="44" s="1"/>
  <c r="E154" i="39"/>
  <c r="E155" i="39" s="1"/>
  <c r="B154" i="39"/>
  <c r="H152" i="42"/>
  <c r="D153" i="42"/>
  <c r="G152" i="42"/>
  <c r="I152" i="42" s="1"/>
  <c r="D152" i="45"/>
  <c r="B152" i="45" s="1"/>
  <c r="G151" i="45"/>
  <c r="I151" i="45" s="1"/>
  <c r="H154" i="41"/>
  <c r="H155" i="41" s="1"/>
  <c r="I154" i="41"/>
  <c r="I155" i="41" s="1"/>
  <c r="D153" i="43"/>
  <c r="E153" i="43" s="1"/>
  <c r="F153" i="43" s="1"/>
  <c r="G152" i="43"/>
  <c r="I152" i="43" s="1"/>
  <c r="G152" i="38"/>
  <c r="I152" i="38" s="1"/>
  <c r="D153" i="38"/>
  <c r="H152" i="43"/>
  <c r="B152" i="43"/>
  <c r="B151" i="46" l="1"/>
  <c r="D152" i="46"/>
  <c r="E152" i="46" s="1"/>
  <c r="F152" i="46" s="1"/>
  <c r="E148" i="51"/>
  <c r="F148" i="51" s="1"/>
  <c r="I147" i="51"/>
  <c r="H147" i="51"/>
  <c r="H151" i="46"/>
  <c r="B147" i="50"/>
  <c r="F147" i="57"/>
  <c r="B147" i="57"/>
  <c r="H146" i="57"/>
  <c r="I146" i="57"/>
  <c r="D148" i="50"/>
  <c r="G147" i="50"/>
  <c r="B152" i="40"/>
  <c r="H152" i="40"/>
  <c r="B152" i="44"/>
  <c r="D153" i="40"/>
  <c r="E153" i="40" s="1"/>
  <c r="F153" i="40" s="1"/>
  <c r="D154" i="40" s="1"/>
  <c r="B154" i="40" s="1"/>
  <c r="E154" i="37"/>
  <c r="E155" i="37" s="1"/>
  <c r="B154" i="37"/>
  <c r="F154" i="39"/>
  <c r="G154" i="39" s="1"/>
  <c r="H154" i="39" s="1"/>
  <c r="H155" i="39" s="1"/>
  <c r="B153" i="42"/>
  <c r="E153" i="42"/>
  <c r="F153" i="42" s="1"/>
  <c r="E152" i="45"/>
  <c r="F152" i="45" s="1"/>
  <c r="H152" i="45" s="1"/>
  <c r="B152" i="46"/>
  <c r="B153" i="43"/>
  <c r="H153" i="43"/>
  <c r="D154" i="43"/>
  <c r="E154" i="43" s="1"/>
  <c r="E155" i="43" s="1"/>
  <c r="G153" i="43"/>
  <c r="I153" i="43" s="1"/>
  <c r="D153" i="44"/>
  <c r="E153" i="44" s="1"/>
  <c r="F153" i="44" s="1"/>
  <c r="G152" i="44"/>
  <c r="I152" i="44" s="1"/>
  <c r="E153" i="38"/>
  <c r="F153" i="38" s="1"/>
  <c r="H153" i="38" s="1"/>
  <c r="B153" i="38"/>
  <c r="D149" i="51" l="1"/>
  <c r="E149" i="51" s="1"/>
  <c r="G148" i="51"/>
  <c r="G147" i="57"/>
  <c r="D148" i="57"/>
  <c r="H147" i="50"/>
  <c r="I147" i="50"/>
  <c r="E148" i="50"/>
  <c r="F148" i="50" s="1"/>
  <c r="B148" i="50"/>
  <c r="H153" i="40"/>
  <c r="E154" i="40"/>
  <c r="E155" i="40" s="1"/>
  <c r="G153" i="40"/>
  <c r="I153" i="40" s="1"/>
  <c r="B153" i="40"/>
  <c r="I154" i="39"/>
  <c r="I155" i="39" s="1"/>
  <c r="F154" i="37"/>
  <c r="G154" i="37" s="1"/>
  <c r="H154" i="37" s="1"/>
  <c r="H155" i="37" s="1"/>
  <c r="G152" i="45"/>
  <c r="I152" i="45" s="1"/>
  <c r="D153" i="45"/>
  <c r="B153" i="45" s="1"/>
  <c r="H153" i="42"/>
  <c r="G153" i="42"/>
  <c r="I153" i="42" s="1"/>
  <c r="D154" i="42"/>
  <c r="D153" i="46"/>
  <c r="B153" i="46" s="1"/>
  <c r="G152" i="46"/>
  <c r="I152" i="46" s="1"/>
  <c r="H152" i="46"/>
  <c r="G153" i="44"/>
  <c r="I153" i="44" s="1"/>
  <c r="D154" i="44"/>
  <c r="E154" i="44" s="1"/>
  <c r="E155" i="44" s="1"/>
  <c r="G153" i="38"/>
  <c r="I153" i="38" s="1"/>
  <c r="D154" i="38"/>
  <c r="E154" i="38" s="1"/>
  <c r="E155" i="38" s="1"/>
  <c r="B153" i="44"/>
  <c r="H153" i="44"/>
  <c r="B154" i="43"/>
  <c r="F154" i="43"/>
  <c r="G154" i="43" s="1"/>
  <c r="I148" i="51" l="1"/>
  <c r="H148" i="51"/>
  <c r="B149" i="51"/>
  <c r="F149" i="51"/>
  <c r="E148" i="57"/>
  <c r="F148" i="57" s="1"/>
  <c r="B148" i="57"/>
  <c r="H147" i="57"/>
  <c r="I147" i="57"/>
  <c r="F154" i="40"/>
  <c r="G154" i="40" s="1"/>
  <c r="H154" i="40" s="1"/>
  <c r="H155" i="40" s="1"/>
  <c r="D149" i="50"/>
  <c r="G148" i="50"/>
  <c r="E153" i="45"/>
  <c r="F153" i="45" s="1"/>
  <c r="H153" i="45" s="1"/>
  <c r="I154" i="37"/>
  <c r="I155" i="37" s="1"/>
  <c r="E154" i="42"/>
  <c r="E155" i="42" s="1"/>
  <c r="B154" i="42"/>
  <c r="E153" i="46"/>
  <c r="F153" i="46" s="1"/>
  <c r="H153" i="46" s="1"/>
  <c r="B154" i="38"/>
  <c r="F154" i="38"/>
  <c r="G154" i="38" s="1"/>
  <c r="B154" i="44"/>
  <c r="F154" i="44"/>
  <c r="G154" i="44" s="1"/>
  <c r="I154" i="43"/>
  <c r="I155" i="43" s="1"/>
  <c r="H154" i="43"/>
  <c r="H155" i="43" s="1"/>
  <c r="D150" i="51" l="1"/>
  <c r="B150" i="51" s="1"/>
  <c r="G149" i="51"/>
  <c r="I154" i="40"/>
  <c r="I155" i="40" s="1"/>
  <c r="G148" i="57"/>
  <c r="D149" i="57"/>
  <c r="B149" i="57" s="1"/>
  <c r="H148" i="50"/>
  <c r="I148" i="50"/>
  <c r="E149" i="50"/>
  <c r="F149" i="50" s="1"/>
  <c r="B149" i="50"/>
  <c r="D154" i="45"/>
  <c r="G153" i="45"/>
  <c r="I153" i="45" s="1"/>
  <c r="F154" i="42"/>
  <c r="G154" i="42" s="1"/>
  <c r="H154" i="42" s="1"/>
  <c r="H155" i="42" s="1"/>
  <c r="G153" i="46"/>
  <c r="I153" i="46" s="1"/>
  <c r="D154" i="46"/>
  <c r="B154" i="46" s="1"/>
  <c r="H154" i="44"/>
  <c r="H155" i="44" s="1"/>
  <c r="I154" i="44"/>
  <c r="I155" i="44" s="1"/>
  <c r="H154" i="38"/>
  <c r="H155" i="38" s="1"/>
  <c r="I154" i="38"/>
  <c r="I155" i="38" s="1"/>
  <c r="H149" i="51" l="1"/>
  <c r="I149" i="51"/>
  <c r="E150" i="51"/>
  <c r="F150" i="51" s="1"/>
  <c r="E149" i="57"/>
  <c r="F149" i="57" s="1"/>
  <c r="G149" i="57" s="1"/>
  <c r="H148" i="57"/>
  <c r="I148" i="57"/>
  <c r="D150" i="50"/>
  <c r="B150" i="50" s="1"/>
  <c r="G149" i="50"/>
  <c r="E154" i="46"/>
  <c r="F154" i="46" s="1"/>
  <c r="G154" i="46" s="1"/>
  <c r="B154" i="45"/>
  <c r="E154" i="45"/>
  <c r="E155" i="45" s="1"/>
  <c r="I154" i="42"/>
  <c r="I155" i="42" s="1"/>
  <c r="D150" i="57" l="1"/>
  <c r="D151" i="51"/>
  <c r="B151" i="51" s="1"/>
  <c r="G150" i="51"/>
  <c r="E150" i="57"/>
  <c r="F150" i="57" s="1"/>
  <c r="B150" i="57"/>
  <c r="H149" i="57"/>
  <c r="I149" i="57"/>
  <c r="E150" i="50"/>
  <c r="F150" i="50" s="1"/>
  <c r="D151" i="50" s="1"/>
  <c r="H149" i="50"/>
  <c r="I149" i="50"/>
  <c r="E155" i="46"/>
  <c r="F154" i="45"/>
  <c r="G154" i="45" s="1"/>
  <c r="I154" i="45" s="1"/>
  <c r="I155" i="45" s="1"/>
  <c r="H154" i="46"/>
  <c r="H155" i="46" s="1"/>
  <c r="I154" i="46"/>
  <c r="I155" i="46" s="1"/>
  <c r="E151" i="51" l="1"/>
  <c r="F151" i="51" s="1"/>
  <c r="D152" i="51"/>
  <c r="B152" i="51" s="1"/>
  <c r="G151" i="51"/>
  <c r="I150" i="51"/>
  <c r="H150" i="51"/>
  <c r="G150" i="57"/>
  <c r="D151" i="57"/>
  <c r="G150" i="50"/>
  <c r="I150" i="50" s="1"/>
  <c r="E151" i="50"/>
  <c r="F151" i="50" s="1"/>
  <c r="B151" i="50"/>
  <c r="H154" i="45"/>
  <c r="H155" i="45" s="1"/>
  <c r="E152" i="51" l="1"/>
  <c r="F152" i="51" s="1"/>
  <c r="D153" i="51" s="1"/>
  <c r="I151" i="51"/>
  <c r="H151" i="51"/>
  <c r="H150" i="50"/>
  <c r="E151" i="57"/>
  <c r="F151" i="57" s="1"/>
  <c r="B151" i="57"/>
  <c r="H150" i="57"/>
  <c r="I150" i="57"/>
  <c r="D152" i="50"/>
  <c r="G151" i="50"/>
  <c r="G152" i="51" l="1"/>
  <c r="H152" i="51" s="1"/>
  <c r="B153" i="51"/>
  <c r="E153" i="51"/>
  <c r="F153" i="51" s="1"/>
  <c r="D154" i="51"/>
  <c r="E154" i="51" s="1"/>
  <c r="E155" i="51" s="1"/>
  <c r="G153" i="51"/>
  <c r="D152" i="57"/>
  <c r="G151" i="57"/>
  <c r="H151" i="50"/>
  <c r="I151" i="50"/>
  <c r="E152" i="50"/>
  <c r="F152" i="50" s="1"/>
  <c r="B152" i="50"/>
  <c r="I152" i="51" l="1"/>
  <c r="I153" i="51"/>
  <c r="H153" i="51"/>
  <c r="B154" i="51"/>
  <c r="F154" i="51"/>
  <c r="G154" i="51" s="1"/>
  <c r="H151" i="57"/>
  <c r="I151" i="57"/>
  <c r="E152" i="57"/>
  <c r="F152" i="57" s="1"/>
  <c r="B152" i="57"/>
  <c r="D153" i="50"/>
  <c r="G152" i="50"/>
  <c r="I154" i="51" l="1"/>
  <c r="I155" i="51" s="1"/>
  <c r="H154" i="51"/>
  <c r="H155" i="51" s="1"/>
  <c r="G152" i="57"/>
  <c r="D153" i="57"/>
  <c r="I152" i="50"/>
  <c r="H152" i="50"/>
  <c r="E153" i="50"/>
  <c r="F153" i="50" s="1"/>
  <c r="B153" i="50"/>
  <c r="E153" i="57" l="1"/>
  <c r="F153" i="57" s="1"/>
  <c r="B153" i="57"/>
  <c r="H152" i="57"/>
  <c r="I152" i="57"/>
  <c r="G153" i="50"/>
  <c r="D154" i="50"/>
  <c r="G153" i="57" l="1"/>
  <c r="D154" i="57"/>
  <c r="E154" i="50"/>
  <c r="E155" i="50" s="1"/>
  <c r="B154" i="50"/>
  <c r="H153" i="50"/>
  <c r="I153" i="50"/>
  <c r="E154" i="57" l="1"/>
  <c r="E155" i="57" s="1"/>
  <c r="B154" i="57"/>
  <c r="H153" i="57"/>
  <c r="I153" i="57"/>
  <c r="F154" i="50"/>
  <c r="G154" i="50" s="1"/>
  <c r="H154" i="50" s="1"/>
  <c r="H155" i="50" s="1"/>
  <c r="F154" i="57" l="1"/>
  <c r="G154" i="57" s="1"/>
  <c r="H154" i="57" s="1"/>
  <c r="H155" i="57" s="1"/>
  <c r="I154" i="50"/>
  <c r="I155" i="50" s="1"/>
  <c r="I154" i="57" l="1"/>
  <c r="I155" i="57" s="1"/>
  <c r="D8" i="56"/>
  <c r="D90" i="56" s="1"/>
  <c r="I14" i="56"/>
  <c r="B18" i="56" l="1"/>
  <c r="J96" i="56"/>
  <c r="D100" i="56" l="1"/>
  <c r="E100" i="56"/>
  <c r="D19" i="56"/>
  <c r="E19" i="56"/>
  <c r="B19" i="56" l="1"/>
  <c r="F19" i="56"/>
  <c r="G19" i="56" s="1"/>
  <c r="I18" i="56"/>
  <c r="F100" i="56"/>
  <c r="B100" i="56"/>
  <c r="D101" i="56" l="1"/>
  <c r="G100" i="56"/>
  <c r="E101" i="56"/>
  <c r="H19" i="56"/>
  <c r="D20" i="56"/>
  <c r="E20" i="56"/>
  <c r="J99" i="56"/>
  <c r="B20" i="56" l="1"/>
  <c r="F20" i="56"/>
  <c r="H20" i="56" s="1"/>
  <c r="I19" i="56"/>
  <c r="H100" i="56"/>
  <c r="M88" i="56" s="1"/>
  <c r="I100" i="56"/>
  <c r="N88" i="56" s="1"/>
  <c r="O88" i="56" s="1"/>
  <c r="O89" i="56" s="1"/>
  <c r="B101" i="56"/>
  <c r="F101" i="56"/>
  <c r="O18" i="2"/>
  <c r="R135" i="2" s="1"/>
  <c r="M89" i="56" l="1"/>
  <c r="N18" i="2"/>
  <c r="P18" i="2" s="1"/>
  <c r="P19" i="2" s="1"/>
  <c r="P20" i="2" s="1"/>
  <c r="N89" i="56"/>
  <c r="G20" i="56"/>
  <c r="I20" i="56" s="1"/>
  <c r="D21" i="56"/>
  <c r="E21" i="56"/>
  <c r="G101" i="56"/>
  <c r="D102" i="56"/>
  <c r="E102" i="56"/>
  <c r="O19" i="2"/>
  <c r="O20" i="2" s="1"/>
  <c r="J100" i="56"/>
  <c r="I52" i="17"/>
  <c r="I55" i="17" l="1"/>
  <c r="R134" i="2"/>
  <c r="N19" i="2"/>
  <c r="N20" i="2" s="1"/>
  <c r="F102" i="56"/>
  <c r="B102" i="56"/>
  <c r="H101" i="56"/>
  <c r="I101" i="56"/>
  <c r="F21" i="56"/>
  <c r="G21" i="56" s="1"/>
  <c r="B21" i="56"/>
  <c r="I56" i="17" l="1"/>
  <c r="J101" i="56"/>
  <c r="H21" i="56"/>
  <c r="D22" i="56"/>
  <c r="E22" i="56"/>
  <c r="D103" i="56"/>
  <c r="G102" i="56"/>
  <c r="E103" i="56"/>
  <c r="H102" i="56" l="1"/>
  <c r="I102" i="56"/>
  <c r="B103" i="56"/>
  <c r="F103" i="56"/>
  <c r="B22" i="56"/>
  <c r="F22" i="56"/>
  <c r="G22" i="56" s="1"/>
  <c r="I21" i="56"/>
  <c r="J102" i="56" l="1"/>
  <c r="H22" i="56"/>
  <c r="D23" i="56"/>
  <c r="E23" i="56"/>
  <c r="D104" i="56"/>
  <c r="G103" i="56"/>
  <c r="E104" i="56"/>
  <c r="F104" i="56" l="1"/>
  <c r="B104" i="56"/>
  <c r="F23" i="56"/>
  <c r="G23" i="56" s="1"/>
  <c r="B23" i="56"/>
  <c r="H23" i="56"/>
  <c r="H103" i="56"/>
  <c r="I103" i="56"/>
  <c r="I22" i="56"/>
  <c r="J103" i="56" l="1"/>
  <c r="I23" i="56"/>
  <c r="D24" i="56"/>
  <c r="E24" i="56"/>
  <c r="D105" i="56"/>
  <c r="G104" i="56"/>
  <c r="E105" i="56"/>
  <c r="H104" i="56" l="1"/>
  <c r="I104" i="56"/>
  <c r="B105" i="56"/>
  <c r="F105" i="56"/>
  <c r="B24" i="56"/>
  <c r="F24" i="56"/>
  <c r="D25" i="56" l="1"/>
  <c r="E25" i="56"/>
  <c r="G24" i="56"/>
  <c r="G105" i="56"/>
  <c r="D106" i="56"/>
  <c r="E106" i="56"/>
  <c r="J104" i="56"/>
  <c r="H24" i="56"/>
  <c r="I24" i="56" l="1"/>
  <c r="F106" i="56"/>
  <c r="B106" i="56"/>
  <c r="H105" i="56"/>
  <c r="I105" i="56"/>
  <c r="F25" i="56"/>
  <c r="G25" i="56" s="1"/>
  <c r="B25" i="56"/>
  <c r="H25" i="56" l="1"/>
  <c r="J105" i="56"/>
  <c r="I25" i="56"/>
  <c r="D26" i="56"/>
  <c r="E26" i="56"/>
  <c r="G106" i="56"/>
  <c r="D107" i="56"/>
  <c r="E107" i="56"/>
  <c r="B107" i="56" l="1"/>
  <c r="F107" i="56"/>
  <c r="F26" i="56"/>
  <c r="G26" i="56" s="1"/>
  <c r="B26" i="56"/>
  <c r="H106" i="56"/>
  <c r="I106" i="56"/>
  <c r="H26" i="56" l="1"/>
  <c r="I26" i="56" s="1"/>
  <c r="D27" i="56"/>
  <c r="E27" i="56"/>
  <c r="G107" i="56"/>
  <c r="D108" i="56"/>
  <c r="E108" i="56"/>
  <c r="J106" i="56"/>
  <c r="F108" i="56" l="1"/>
  <c r="B108" i="56"/>
  <c r="H107" i="56"/>
  <c r="I107" i="56"/>
  <c r="F27" i="56"/>
  <c r="H27" i="56" s="1"/>
  <c r="B27" i="56"/>
  <c r="J107" i="56" l="1"/>
  <c r="G27" i="56"/>
  <c r="I27" i="56" s="1"/>
  <c r="D28" i="56"/>
  <c r="E28" i="56"/>
  <c r="G108" i="56"/>
  <c r="D109" i="56"/>
  <c r="E109" i="56"/>
  <c r="B109" i="56" l="1"/>
  <c r="F109" i="56"/>
  <c r="F28" i="56"/>
  <c r="G28" i="56" s="1"/>
  <c r="B28" i="56"/>
  <c r="H108" i="56"/>
  <c r="I108" i="56"/>
  <c r="J108" i="56" l="1"/>
  <c r="H28" i="56"/>
  <c r="I28" i="56" s="1"/>
  <c r="D29" i="56"/>
  <c r="E29" i="56"/>
  <c r="G109" i="56"/>
  <c r="D110" i="56"/>
  <c r="E110" i="56"/>
  <c r="H109" i="56" l="1"/>
  <c r="I109" i="56"/>
  <c r="B29" i="56"/>
  <c r="F29" i="56"/>
  <c r="H29" i="56" s="1"/>
  <c r="F110" i="56"/>
  <c r="B110" i="56"/>
  <c r="G29" i="56" l="1"/>
  <c r="I29" i="56" s="1"/>
  <c r="J109" i="56"/>
  <c r="D30" i="56"/>
  <c r="E30" i="56"/>
  <c r="G110" i="56"/>
  <c r="D111" i="56"/>
  <c r="E111" i="56"/>
  <c r="B111" i="56" l="1"/>
  <c r="F111" i="56"/>
  <c r="H110" i="56"/>
  <c r="I110" i="56"/>
  <c r="F30" i="56"/>
  <c r="G30" i="56" s="1"/>
  <c r="B30" i="56"/>
  <c r="H30" i="56" l="1"/>
  <c r="I30" i="56" s="1"/>
  <c r="D31" i="56"/>
  <c r="E31" i="56"/>
  <c r="J110" i="56"/>
  <c r="D112" i="56"/>
  <c r="G111" i="56"/>
  <c r="E112" i="56"/>
  <c r="H111" i="56" l="1"/>
  <c r="I111" i="56"/>
  <c r="F112" i="56"/>
  <c r="B112" i="56"/>
  <c r="B31" i="56"/>
  <c r="F31" i="56"/>
  <c r="G31" i="56" s="1"/>
  <c r="H31" i="56" l="1"/>
  <c r="I31" i="56" s="1"/>
  <c r="J111" i="56"/>
  <c r="D32" i="56"/>
  <c r="E32" i="56"/>
  <c r="G112" i="56"/>
  <c r="D113" i="56"/>
  <c r="E113" i="56"/>
  <c r="H112" i="56" l="1"/>
  <c r="I112" i="56"/>
  <c r="B113" i="56"/>
  <c r="F113" i="56"/>
  <c r="B32" i="56"/>
  <c r="F32" i="56"/>
  <c r="J112" i="56" l="1"/>
  <c r="D33" i="56"/>
  <c r="E33" i="56"/>
  <c r="H32" i="56"/>
  <c r="G113" i="56"/>
  <c r="D114" i="56"/>
  <c r="E114" i="56"/>
  <c r="G32" i="56"/>
  <c r="F114" i="56" l="1"/>
  <c r="B114" i="56"/>
  <c r="H113" i="56"/>
  <c r="I113" i="56"/>
  <c r="I32" i="56"/>
  <c r="F33" i="56"/>
  <c r="B33" i="56"/>
  <c r="J113" i="56" l="1"/>
  <c r="G33" i="56"/>
  <c r="D34" i="56"/>
  <c r="E34" i="56"/>
  <c r="H33" i="56"/>
  <c r="D115" i="56"/>
  <c r="G114" i="56"/>
  <c r="E115" i="56"/>
  <c r="I33" i="56" l="1"/>
  <c r="B115" i="56"/>
  <c r="F115" i="56"/>
  <c r="H114" i="56"/>
  <c r="I114" i="56"/>
  <c r="B34" i="56"/>
  <c r="F34" i="56"/>
  <c r="H34" i="56" s="1"/>
  <c r="J114" i="56" l="1"/>
  <c r="G34" i="56"/>
  <c r="I34" i="56" s="1"/>
  <c r="D35" i="56"/>
  <c r="E35" i="56"/>
  <c r="D116" i="56"/>
  <c r="G115" i="56"/>
  <c r="E116" i="56"/>
  <c r="H115" i="56" l="1"/>
  <c r="I115" i="56"/>
  <c r="F116" i="56"/>
  <c r="B116" i="56"/>
  <c r="F35" i="56"/>
  <c r="G35" i="56" s="1"/>
  <c r="B35" i="56"/>
  <c r="H35" i="56" l="1"/>
  <c r="I35" i="56" s="1"/>
  <c r="J115" i="56"/>
  <c r="D36" i="56"/>
  <c r="E36" i="56"/>
  <c r="D117" i="56"/>
  <c r="G116" i="56"/>
  <c r="E117" i="56"/>
  <c r="H116" i="56" l="1"/>
  <c r="I116" i="56"/>
  <c r="B117" i="56"/>
  <c r="F117" i="56"/>
  <c r="B36" i="56"/>
  <c r="F36" i="56"/>
  <c r="G36" i="56" s="1"/>
  <c r="H36" i="56" l="1"/>
  <c r="I36" i="56" s="1"/>
  <c r="J116" i="56"/>
  <c r="D37" i="56"/>
  <c r="E37" i="56"/>
  <c r="G117" i="56"/>
  <c r="D118" i="56"/>
  <c r="E118" i="56"/>
  <c r="B118" i="56" l="1"/>
  <c r="F118" i="56"/>
  <c r="H117" i="56"/>
  <c r="I117" i="56"/>
  <c r="F37" i="56"/>
  <c r="G37" i="56" s="1"/>
  <c r="B37" i="56"/>
  <c r="H37" i="56" l="1"/>
  <c r="I37" i="56" s="1"/>
  <c r="D38" i="56"/>
  <c r="E38" i="56"/>
  <c r="J117" i="56"/>
  <c r="D119" i="56"/>
  <c r="G118" i="56"/>
  <c r="E119" i="56"/>
  <c r="H118" i="56" l="1"/>
  <c r="I118" i="56"/>
  <c r="B119" i="56"/>
  <c r="F119" i="56"/>
  <c r="B38" i="56"/>
  <c r="F38" i="56"/>
  <c r="G38" i="56" s="1"/>
  <c r="H38" i="56" l="1"/>
  <c r="I38" i="56" s="1"/>
  <c r="J118" i="56"/>
  <c r="D39" i="56"/>
  <c r="E39" i="56"/>
  <c r="G119" i="56"/>
  <c r="D120" i="56"/>
  <c r="E120" i="56"/>
  <c r="B120" i="56" l="1"/>
  <c r="F120" i="56"/>
  <c r="H119" i="56"/>
  <c r="I119" i="56"/>
  <c r="F39" i="56"/>
  <c r="H39" i="56" s="1"/>
  <c r="B39" i="56"/>
  <c r="J119" i="56" l="1"/>
  <c r="G39" i="56"/>
  <c r="I39" i="56" s="1"/>
  <c r="D40" i="56"/>
  <c r="E40" i="56"/>
  <c r="D121" i="56"/>
  <c r="G120" i="56"/>
  <c r="E121" i="56"/>
  <c r="H120" i="56" l="1"/>
  <c r="I120" i="56"/>
  <c r="B121" i="56"/>
  <c r="F121" i="56"/>
  <c r="F40" i="56"/>
  <c r="H40" i="56" s="1"/>
  <c r="B40" i="56"/>
  <c r="J120" i="56" l="1"/>
  <c r="G40" i="56"/>
  <c r="I40" i="56" s="1"/>
  <c r="D41" i="56"/>
  <c r="E41" i="56"/>
  <c r="G121" i="56"/>
  <c r="D122" i="56"/>
  <c r="E122" i="56"/>
  <c r="B122" i="56" l="1"/>
  <c r="F122" i="56"/>
  <c r="H121" i="56"/>
  <c r="I121" i="56"/>
  <c r="B41" i="56"/>
  <c r="F41" i="56"/>
  <c r="G41" i="56" s="1"/>
  <c r="H41" i="56" l="1"/>
  <c r="I41" i="56" s="1"/>
  <c r="D42" i="56"/>
  <c r="E42" i="56"/>
  <c r="J121" i="56"/>
  <c r="D123" i="56"/>
  <c r="G122" i="56"/>
  <c r="E123" i="56"/>
  <c r="B123" i="56" l="1"/>
  <c r="F123" i="56"/>
  <c r="H122" i="56"/>
  <c r="I122" i="56"/>
  <c r="B42" i="56"/>
  <c r="F42" i="56"/>
  <c r="G42" i="56" s="1"/>
  <c r="J122" i="56" l="1"/>
  <c r="H42" i="56"/>
  <c r="D43" i="56"/>
  <c r="E43" i="56"/>
  <c r="I42" i="56"/>
  <c r="G123" i="56"/>
  <c r="D124" i="56"/>
  <c r="E124" i="56"/>
  <c r="H123" i="56" l="1"/>
  <c r="I123" i="56"/>
  <c r="F124" i="56"/>
  <c r="B124" i="56"/>
  <c r="B43" i="56"/>
  <c r="F43" i="56"/>
  <c r="G43" i="56" s="1"/>
  <c r="J123" i="56" l="1"/>
  <c r="D125" i="56"/>
  <c r="G124" i="56"/>
  <c r="E125" i="56"/>
  <c r="H43" i="56"/>
  <c r="I43" i="56" s="1"/>
  <c r="D44" i="56"/>
  <c r="E44" i="56"/>
  <c r="B44" i="56" l="1"/>
  <c r="F44" i="56"/>
  <c r="H44" i="56" s="1"/>
  <c r="H124" i="56"/>
  <c r="I124" i="56"/>
  <c r="B125" i="56"/>
  <c r="F125" i="56"/>
  <c r="J124" i="56" l="1"/>
  <c r="D126" i="56"/>
  <c r="G125" i="56"/>
  <c r="E126" i="56"/>
  <c r="G44" i="56"/>
  <c r="I44" i="56" s="1"/>
  <c r="D45" i="56"/>
  <c r="E45" i="56"/>
  <c r="B45" i="56" l="1"/>
  <c r="F45" i="56"/>
  <c r="G45" i="56" s="1"/>
  <c r="H125" i="56"/>
  <c r="I125" i="56"/>
  <c r="F126" i="56"/>
  <c r="B126" i="56"/>
  <c r="J125" i="56" l="1"/>
  <c r="G126" i="56"/>
  <c r="D127" i="56"/>
  <c r="E127" i="56"/>
  <c r="H45" i="56"/>
  <c r="I45" i="56" s="1"/>
  <c r="D46" i="56"/>
  <c r="E46" i="56"/>
  <c r="B46" i="56" l="1"/>
  <c r="F46" i="56"/>
  <c r="G46" i="56" s="1"/>
  <c r="B127" i="56"/>
  <c r="F127" i="56"/>
  <c r="H126" i="56"/>
  <c r="I126" i="56"/>
  <c r="H46" i="56" l="1"/>
  <c r="I46" i="56" s="1"/>
  <c r="J126" i="56"/>
  <c r="D47" i="56"/>
  <c r="E47" i="56"/>
  <c r="D128" i="56"/>
  <c r="G127" i="56"/>
  <c r="E128" i="56"/>
  <c r="H127" i="56" l="1"/>
  <c r="I127" i="56"/>
  <c r="B128" i="56"/>
  <c r="F128" i="56"/>
  <c r="F47" i="56"/>
  <c r="B47" i="56"/>
  <c r="H47" i="56"/>
  <c r="J127" i="56" l="1"/>
  <c r="D129" i="56"/>
  <c r="G128" i="56"/>
  <c r="E129" i="56"/>
  <c r="G47" i="56"/>
  <c r="I47" i="56" s="1"/>
  <c r="D48" i="56"/>
  <c r="E48" i="56"/>
  <c r="F48" i="56" l="1"/>
  <c r="H48" i="56" s="1"/>
  <c r="B48" i="56"/>
  <c r="H128" i="56"/>
  <c r="I128" i="56"/>
  <c r="B129" i="56"/>
  <c r="F129" i="56"/>
  <c r="G48" i="56" l="1"/>
  <c r="I48" i="56" s="1"/>
  <c r="D130" i="56"/>
  <c r="G129" i="56"/>
  <c r="E130" i="56"/>
  <c r="J128" i="56"/>
  <c r="D49" i="56"/>
  <c r="E49" i="56"/>
  <c r="B49" i="56" l="1"/>
  <c r="F49" i="56"/>
  <c r="H49" i="56" s="1"/>
  <c r="H129" i="56"/>
  <c r="I129" i="56"/>
  <c r="B130" i="56"/>
  <c r="F130" i="56"/>
  <c r="J129" i="56" l="1"/>
  <c r="D131" i="56"/>
  <c r="G130" i="56"/>
  <c r="E131" i="56"/>
  <c r="G49" i="56"/>
  <c r="I49" i="56" s="1"/>
  <c r="D50" i="56"/>
  <c r="E50" i="56"/>
  <c r="H130" i="56" l="1"/>
  <c r="I130" i="56"/>
  <c r="B50" i="56"/>
  <c r="F50" i="56"/>
  <c r="H50" i="56" s="1"/>
  <c r="B131" i="56"/>
  <c r="F131" i="56"/>
  <c r="J130" i="56" l="1"/>
  <c r="J155" i="56" s="1"/>
  <c r="D132" i="56"/>
  <c r="G131" i="56"/>
  <c r="E132" i="56"/>
  <c r="G50" i="56"/>
  <c r="I50" i="56" s="1"/>
  <c r="D51" i="56"/>
  <c r="E51" i="56"/>
  <c r="B51" i="56" l="1"/>
  <c r="F51" i="56"/>
  <c r="G51" i="56" s="1"/>
  <c r="H131" i="56"/>
  <c r="I131" i="56"/>
  <c r="F132" i="56"/>
  <c r="B132" i="56"/>
  <c r="H51" i="56" l="1"/>
  <c r="I51" i="56" s="1"/>
  <c r="G132" i="56"/>
  <c r="D133" i="56"/>
  <c r="E133" i="56" s="1"/>
  <c r="D52" i="56"/>
  <c r="E52" i="56"/>
  <c r="B52" i="56" l="1"/>
  <c r="F52" i="56"/>
  <c r="G52" i="56" s="1"/>
  <c r="F133" i="56"/>
  <c r="B133" i="56"/>
  <c r="H132" i="56"/>
  <c r="I132" i="56"/>
  <c r="H52" i="56" l="1"/>
  <c r="I52" i="56" s="1"/>
  <c r="G133" i="56"/>
  <c r="D134" i="56"/>
  <c r="E134" i="56" s="1"/>
  <c r="D53" i="56"/>
  <c r="E53" i="56"/>
  <c r="B53" i="56" l="1"/>
  <c r="F53" i="56"/>
  <c r="H53" i="56" s="1"/>
  <c r="F134" i="56"/>
  <c r="B134" i="56"/>
  <c r="H133" i="56"/>
  <c r="I133" i="56"/>
  <c r="D135" i="56" l="1"/>
  <c r="G134" i="56"/>
  <c r="E135" i="56"/>
  <c r="G53" i="56"/>
  <c r="I53" i="56" s="1"/>
  <c r="D54" i="56"/>
  <c r="E54" i="56"/>
  <c r="B54" i="56" l="1"/>
  <c r="F54" i="56"/>
  <c r="G54" i="56" s="1"/>
  <c r="H134" i="56"/>
  <c r="I134" i="56"/>
  <c r="B135" i="56"/>
  <c r="F135" i="56"/>
  <c r="D136" i="56" l="1"/>
  <c r="G135" i="56"/>
  <c r="E136" i="56"/>
  <c r="H54" i="56"/>
  <c r="I54" i="56" s="1"/>
  <c r="D55" i="56"/>
  <c r="E55" i="56" s="1"/>
  <c r="B55" i="56" l="1"/>
  <c r="F55" i="56"/>
  <c r="G55" i="56" s="1"/>
  <c r="H135" i="56"/>
  <c r="I135" i="56"/>
  <c r="F136" i="56"/>
  <c r="B136" i="56"/>
  <c r="D137" i="56" l="1"/>
  <c r="E137" i="56" s="1"/>
  <c r="G136" i="56"/>
  <c r="H55" i="56"/>
  <c r="I55" i="56" s="1"/>
  <c r="D56" i="56"/>
  <c r="E56" i="56" l="1"/>
  <c r="F56" i="56" s="1"/>
  <c r="G56" i="56" s="1"/>
  <c r="B56" i="56"/>
  <c r="H136" i="56"/>
  <c r="I136" i="56"/>
  <c r="F137" i="56"/>
  <c r="B137" i="56"/>
  <c r="G137" i="56" l="1"/>
  <c r="D138" i="56"/>
  <c r="H56" i="56"/>
  <c r="I56" i="56" s="1"/>
  <c r="D57" i="56"/>
  <c r="E138" i="56" l="1"/>
  <c r="F138" i="56" s="1"/>
  <c r="B138" i="56"/>
  <c r="E57" i="56"/>
  <c r="F57" i="56" s="1"/>
  <c r="B57" i="56"/>
  <c r="H137" i="56"/>
  <c r="I137" i="56"/>
  <c r="H57" i="56" l="1"/>
  <c r="D58" i="56"/>
  <c r="D139" i="56"/>
  <c r="G138" i="56"/>
  <c r="G57" i="56"/>
  <c r="I57" i="56" l="1"/>
  <c r="H138" i="56"/>
  <c r="I138" i="56"/>
  <c r="E58" i="56"/>
  <c r="F58" i="56" s="1"/>
  <c r="G58" i="56" s="1"/>
  <c r="B58" i="56"/>
  <c r="E139" i="56"/>
  <c r="F139" i="56" s="1"/>
  <c r="B139" i="56"/>
  <c r="D140" i="56" l="1"/>
  <c r="G139" i="56"/>
  <c r="H58" i="56"/>
  <c r="I58" i="56" s="1"/>
  <c r="D59" i="56"/>
  <c r="E59" i="56" l="1"/>
  <c r="F59" i="56" s="1"/>
  <c r="H59" i="56" s="1"/>
  <c r="B59" i="56"/>
  <c r="H139" i="56"/>
  <c r="I139" i="56"/>
  <c r="E140" i="56"/>
  <c r="F140" i="56" s="1"/>
  <c r="B140" i="56"/>
  <c r="D141" i="56" l="1"/>
  <c r="B141" i="56" s="1"/>
  <c r="G140" i="56"/>
  <c r="G59" i="56"/>
  <c r="I59" i="56" s="1"/>
  <c r="D60" i="56"/>
  <c r="E60" i="56" s="1"/>
  <c r="F60" i="56" s="1"/>
  <c r="D61" i="56" s="1"/>
  <c r="E141" i="56" l="1"/>
  <c r="F141" i="56" s="1"/>
  <c r="G141" i="56" s="1"/>
  <c r="E61" i="56"/>
  <c r="F61" i="56" s="1"/>
  <c r="B61" i="56"/>
  <c r="B60" i="56"/>
  <c r="H60" i="56"/>
  <c r="G60" i="56"/>
  <c r="H140" i="56"/>
  <c r="I140" i="56"/>
  <c r="G61" i="56" l="1"/>
  <c r="H61" i="56"/>
  <c r="D142" i="56"/>
  <c r="E142" i="56" s="1"/>
  <c r="F142" i="56" s="1"/>
  <c r="I60" i="56"/>
  <c r="D62" i="56"/>
  <c r="E62" i="56" s="1"/>
  <c r="H141" i="56"/>
  <c r="I141" i="56"/>
  <c r="I61" i="56" l="1"/>
  <c r="B142" i="56"/>
  <c r="B62" i="56"/>
  <c r="F62" i="56"/>
  <c r="G62" i="56" s="1"/>
  <c r="D143" i="56"/>
  <c r="G142" i="56"/>
  <c r="H62" i="56" l="1"/>
  <c r="I62" i="56" s="1"/>
  <c r="B143" i="56"/>
  <c r="E143" i="56"/>
  <c r="F143" i="56" s="1"/>
  <c r="H142" i="56"/>
  <c r="I142" i="56"/>
  <c r="D63" i="56"/>
  <c r="E63" i="56" s="1"/>
  <c r="D144" i="56" l="1"/>
  <c r="E144" i="56" s="1"/>
  <c r="G143" i="56"/>
  <c r="F63" i="56"/>
  <c r="D64" i="56" s="1"/>
  <c r="B63" i="56"/>
  <c r="G63" i="56" l="1"/>
  <c r="H63" i="56"/>
  <c r="E64" i="56"/>
  <c r="F64" i="56" s="1"/>
  <c r="B64" i="56"/>
  <c r="H143" i="56"/>
  <c r="I143" i="56"/>
  <c r="F144" i="56"/>
  <c r="B144" i="56"/>
  <c r="I63" i="56" l="1"/>
  <c r="G64" i="56"/>
  <c r="H64" i="56"/>
  <c r="D65" i="56"/>
  <c r="E65" i="56" s="1"/>
  <c r="F65" i="56" s="1"/>
  <c r="D66" i="56" s="1"/>
  <c r="D145" i="56"/>
  <c r="G144" i="56"/>
  <c r="I64" i="56" l="1"/>
  <c r="E145" i="56"/>
  <c r="F145" i="56" s="1"/>
  <c r="B145" i="56"/>
  <c r="E66" i="56"/>
  <c r="F66" i="56" s="1"/>
  <c r="B66" i="56"/>
  <c r="H144" i="56"/>
  <c r="I144" i="56"/>
  <c r="B65" i="56"/>
  <c r="G65" i="56"/>
  <c r="H65" i="56"/>
  <c r="I65" i="56" l="1"/>
  <c r="G66" i="56"/>
  <c r="D67" i="56"/>
  <c r="H66" i="56"/>
  <c r="G145" i="56"/>
  <c r="D146" i="56"/>
  <c r="B146" i="56" s="1"/>
  <c r="I66" i="56" l="1"/>
  <c r="E146" i="56"/>
  <c r="F146" i="56" s="1"/>
  <c r="H145" i="56"/>
  <c r="I145" i="56"/>
  <c r="E67" i="56"/>
  <c r="F67" i="56" s="1"/>
  <c r="D68" i="56" s="1"/>
  <c r="B67" i="56"/>
  <c r="G67" i="56" l="1"/>
  <c r="E68" i="56"/>
  <c r="F68" i="56" s="1"/>
  <c r="H68" i="56" s="1"/>
  <c r="B68" i="56"/>
  <c r="H67" i="56"/>
  <c r="D147" i="56"/>
  <c r="E147" i="56" s="1"/>
  <c r="G146" i="56"/>
  <c r="I67" i="56" l="1"/>
  <c r="H146" i="56"/>
  <c r="I146" i="56"/>
  <c r="G68" i="56"/>
  <c r="I68" i="56" s="1"/>
  <c r="D69" i="56"/>
  <c r="B147" i="56"/>
  <c r="F147" i="56"/>
  <c r="D148" i="56" l="1"/>
  <c r="B148" i="56" s="1"/>
  <c r="G147" i="56"/>
  <c r="E69" i="56"/>
  <c r="F69" i="56" s="1"/>
  <c r="B69" i="56"/>
  <c r="E148" i="56" l="1"/>
  <c r="F148" i="56" s="1"/>
  <c r="G148" i="56" s="1"/>
  <c r="H69" i="56"/>
  <c r="D70" i="56"/>
  <c r="G69" i="56"/>
  <c r="H147" i="56"/>
  <c r="I147" i="56"/>
  <c r="D149" i="56" l="1"/>
  <c r="B149" i="56" s="1"/>
  <c r="H148" i="56"/>
  <c r="I148" i="56"/>
  <c r="E70" i="56"/>
  <c r="F70" i="56" s="1"/>
  <c r="B70" i="56"/>
  <c r="I69" i="56"/>
  <c r="E149" i="56" l="1"/>
  <c r="F149" i="56" s="1"/>
  <c r="G149" i="56" s="1"/>
  <c r="H70" i="56"/>
  <c r="D71" i="56"/>
  <c r="E71" i="56" s="1"/>
  <c r="G70" i="56"/>
  <c r="D150" i="56" l="1"/>
  <c r="B150" i="56" s="1"/>
  <c r="H149" i="56"/>
  <c r="I149" i="56"/>
  <c r="F71" i="56"/>
  <c r="D72" i="56" s="1"/>
  <c r="B71" i="56"/>
  <c r="I70" i="56"/>
  <c r="E150" i="56" l="1"/>
  <c r="F150" i="56" s="1"/>
  <c r="D151" i="56" s="1"/>
  <c r="B151" i="56" s="1"/>
  <c r="G71" i="56"/>
  <c r="H71" i="56"/>
  <c r="E72" i="56"/>
  <c r="E73" i="56" s="1"/>
  <c r="B72" i="56"/>
  <c r="I71" i="56" l="1"/>
  <c r="E151" i="56"/>
  <c r="F151" i="56" s="1"/>
  <c r="G150" i="56"/>
  <c r="H150" i="56" s="1"/>
  <c r="F72" i="56"/>
  <c r="H72" i="56" s="1"/>
  <c r="H73" i="56" s="1"/>
  <c r="D152" i="56"/>
  <c r="E152" i="56" s="1"/>
  <c r="G151" i="56"/>
  <c r="I150" i="56" l="1"/>
  <c r="G72" i="56"/>
  <c r="G73" i="56" s="1"/>
  <c r="H151" i="56"/>
  <c r="I151" i="56"/>
  <c r="F152" i="56"/>
  <c r="B152" i="56"/>
  <c r="I72" i="56" l="1"/>
  <c r="I73" i="56" s="1"/>
  <c r="D153" i="56"/>
  <c r="E153" i="56" s="1"/>
  <c r="G152" i="56"/>
  <c r="H152" i="56" l="1"/>
  <c r="I152" i="56"/>
  <c r="B153" i="56"/>
  <c r="F153" i="56"/>
  <c r="D154" i="56" l="1"/>
  <c r="E154" i="56" s="1"/>
  <c r="E155" i="56" s="1"/>
  <c r="G153" i="56"/>
  <c r="H153" i="56" l="1"/>
  <c r="I153" i="56"/>
  <c r="F154" i="56"/>
  <c r="G154" i="56" s="1"/>
  <c r="B154" i="56"/>
  <c r="H154" i="56" l="1"/>
  <c r="H155" i="56" s="1"/>
  <c r="I154" i="56"/>
  <c r="I155" i="56" s="1"/>
  <c r="J55" i="17" l="1"/>
  <c r="K19" i="17" s="1"/>
  <c r="L19" i="17" s="1"/>
  <c r="V19" i="17" s="1"/>
  <c r="K28" i="17" l="1"/>
  <c r="L28" i="17" s="1"/>
  <c r="V28" i="17" s="1"/>
  <c r="K21" i="17"/>
  <c r="L21" i="17" s="1"/>
  <c r="V21" i="17" s="1"/>
  <c r="K49" i="17"/>
  <c r="L49" i="17" s="1"/>
  <c r="V49" i="17" s="1"/>
  <c r="K47" i="17"/>
  <c r="L47" i="17" s="1"/>
  <c r="V47" i="17" s="1"/>
  <c r="K51" i="17"/>
  <c r="L51" i="17" s="1"/>
  <c r="V51" i="17" s="1"/>
  <c r="K52" i="17"/>
  <c r="L52" i="17" s="1"/>
  <c r="V52" i="17" s="1"/>
  <c r="K46" i="17"/>
  <c r="L46" i="17" s="1"/>
  <c r="V46" i="17" s="1"/>
  <c r="K50" i="17"/>
  <c r="L50" i="17" s="1"/>
  <c r="V50" i="17" s="1"/>
  <c r="K24" i="17"/>
  <c r="L24" i="17" s="1"/>
  <c r="V24" i="17" s="1"/>
  <c r="K44" i="17"/>
  <c r="L44" i="17" s="1"/>
  <c r="V44" i="17" s="1"/>
  <c r="K22" i="17"/>
  <c r="L22" i="17" s="1"/>
  <c r="V22" i="17" s="1"/>
  <c r="K38" i="17"/>
  <c r="L38" i="17" s="1"/>
  <c r="V38" i="17" s="1"/>
  <c r="K42" i="17"/>
  <c r="L42" i="17" s="1"/>
  <c r="V42" i="17" s="1"/>
  <c r="K45" i="17"/>
  <c r="L45" i="17" s="1"/>
  <c r="V45" i="17" s="1"/>
  <c r="K39" i="17"/>
  <c r="L39" i="17" s="1"/>
  <c r="V39" i="17" s="1"/>
  <c r="K35" i="17"/>
  <c r="L35" i="17" s="1"/>
  <c r="V35" i="17" s="1"/>
  <c r="K25" i="17"/>
  <c r="L25" i="17" s="1"/>
  <c r="V25" i="17" s="1"/>
  <c r="K37" i="17"/>
  <c r="L37" i="17" s="1"/>
  <c r="V37" i="17" s="1"/>
  <c r="K32" i="17"/>
  <c r="L32" i="17" s="1"/>
  <c r="V32" i="17" s="1"/>
  <c r="K23" i="17"/>
  <c r="L23" i="17" s="1"/>
  <c r="V23" i="17" s="1"/>
  <c r="K36" i="17"/>
  <c r="L36" i="17" s="1"/>
  <c r="V36" i="17" s="1"/>
  <c r="K26" i="17"/>
  <c r="L26" i="17" s="1"/>
  <c r="V26" i="17" s="1"/>
  <c r="K31" i="17"/>
  <c r="L31" i="17" s="1"/>
  <c r="V31" i="17" s="1"/>
  <c r="K29" i="17"/>
  <c r="L29" i="17" s="1"/>
  <c r="V29" i="17" s="1"/>
  <c r="K33" i="17"/>
  <c r="L33" i="17" s="1"/>
  <c r="V33" i="17" s="1"/>
  <c r="K20" i="17"/>
  <c r="L20" i="17" s="1"/>
  <c r="V20" i="17" s="1"/>
  <c r="K30" i="17"/>
  <c r="L30" i="17" s="1"/>
  <c r="V30" i="17" s="1"/>
  <c r="K43" i="17"/>
  <c r="L43" i="17" s="1"/>
  <c r="V43" i="17" s="1"/>
  <c r="K40" i="17"/>
  <c r="L40" i="17" s="1"/>
  <c r="V40" i="17" s="1"/>
  <c r="K34" i="17"/>
  <c r="L34" i="17" s="1"/>
  <c r="V34" i="17" s="1"/>
  <c r="K41" i="17"/>
  <c r="L41" i="17" s="1"/>
  <c r="V41" i="17" s="1"/>
  <c r="K27" i="17"/>
  <c r="L27" i="17" s="1"/>
  <c r="V27" i="17" s="1"/>
  <c r="K48" i="17"/>
  <c r="L48" i="17" s="1"/>
  <c r="V48" i="17" s="1"/>
  <c r="K18" i="17"/>
  <c r="L18" i="17" l="1"/>
  <c r="K56" i="17"/>
  <c r="V18" i="17" l="1"/>
  <c r="L55" i="17"/>
  <c r="V55" i="17" l="1"/>
  <c r="Q18" i="17" l="1"/>
  <c r="R18" i="17" s="1"/>
  <c r="Q49" i="17"/>
  <c r="R49" i="17" s="1"/>
  <c r="T49" i="17" s="1"/>
  <c r="Q24" i="17"/>
  <c r="R24" i="17" s="1"/>
  <c r="T24" i="17" s="1"/>
  <c r="Q41" i="17"/>
  <c r="R41" i="17" s="1"/>
  <c r="T41" i="17" s="1"/>
  <c r="Q37" i="17"/>
  <c r="R37" i="17" s="1"/>
  <c r="T37" i="17" s="1"/>
  <c r="Q19" i="17"/>
  <c r="R19" i="17" s="1"/>
  <c r="T19" i="17" s="1"/>
  <c r="Q26" i="17"/>
  <c r="R26" i="17" s="1"/>
  <c r="T26" i="17" s="1"/>
  <c r="Q39" i="17"/>
  <c r="R39" i="17" s="1"/>
  <c r="T39" i="17" s="1"/>
  <c r="Q45" i="17"/>
  <c r="R45" i="17" s="1"/>
  <c r="T45" i="17" s="1"/>
  <c r="Q48" i="17"/>
  <c r="R48" i="17" s="1"/>
  <c r="T48" i="17" s="1"/>
  <c r="Q23" i="17"/>
  <c r="R23" i="17" s="1"/>
  <c r="T23" i="17" s="1"/>
  <c r="Q27" i="17"/>
  <c r="R27" i="17" s="1"/>
  <c r="T27" i="17" s="1"/>
  <c r="Q50" i="17"/>
  <c r="R50" i="17" s="1"/>
  <c r="T50" i="17" s="1"/>
  <c r="Q25" i="17"/>
  <c r="R25" i="17" s="1"/>
  <c r="T25" i="17" s="1"/>
  <c r="Q31" i="17"/>
  <c r="R31" i="17" s="1"/>
  <c r="T31" i="17" s="1"/>
  <c r="Q22" i="17"/>
  <c r="R22" i="17" s="1"/>
  <c r="T22" i="17" s="1"/>
  <c r="Q34" i="17"/>
  <c r="R34" i="17" s="1"/>
  <c r="T34" i="17" s="1"/>
  <c r="Q35" i="17"/>
  <c r="R35" i="17" s="1"/>
  <c r="T35" i="17" s="1"/>
  <c r="Q20" i="17"/>
  <c r="R20" i="17" s="1"/>
  <c r="T20" i="17" s="1"/>
  <c r="Q38" i="17"/>
  <c r="R38" i="17" s="1"/>
  <c r="T38" i="17" s="1"/>
  <c r="Q33" i="17"/>
  <c r="R33" i="17" s="1"/>
  <c r="T33" i="17" s="1"/>
  <c r="Q51" i="17"/>
  <c r="R51" i="17" s="1"/>
  <c r="T51" i="17" s="1"/>
  <c r="Q44" i="17"/>
  <c r="R44" i="17" s="1"/>
  <c r="T44" i="17" s="1"/>
  <c r="Q21" i="17"/>
  <c r="R21" i="17" s="1"/>
  <c r="T21" i="17" s="1"/>
  <c r="Q43" i="17"/>
  <c r="R43" i="17" s="1"/>
  <c r="T43" i="17" s="1"/>
  <c r="Q42" i="17"/>
  <c r="R42" i="17" s="1"/>
  <c r="T42" i="17" s="1"/>
  <c r="Q28" i="17"/>
  <c r="R28" i="17" s="1"/>
  <c r="T28" i="17" s="1"/>
  <c r="Q47" i="17"/>
  <c r="R47" i="17" s="1"/>
  <c r="T47" i="17" s="1"/>
  <c r="Q29" i="17"/>
  <c r="R29" i="17" s="1"/>
  <c r="T29" i="17" s="1"/>
  <c r="Q32" i="17"/>
  <c r="R32" i="17" s="1"/>
  <c r="T32" i="17" s="1"/>
  <c r="Q36" i="17"/>
  <c r="R36" i="17" s="1"/>
  <c r="T36" i="17" s="1"/>
  <c r="Q40" i="17"/>
  <c r="R40" i="17" s="1"/>
  <c r="T40" i="17" s="1"/>
  <c r="Q30" i="17"/>
  <c r="R30" i="17" s="1"/>
  <c r="T30" i="17" s="1"/>
  <c r="Q46" i="17"/>
  <c r="R46" i="17" s="1"/>
  <c r="T46" i="17" s="1"/>
  <c r="Q52" i="17"/>
  <c r="R52" i="17" s="1"/>
  <c r="T52" i="17" s="1"/>
  <c r="Q56" i="17" l="1"/>
  <c r="T18" i="17"/>
  <c r="T55" i="17" s="1"/>
  <c r="R55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rlp</author>
    <author>S177040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cell [P.xxx]!$D$7]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cell [P.xxx]!$D$11]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[P.xxx]!$N$5]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sheet [P.00x]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 by Project</t>
        </r>
        <r>
          <rPr>
            <sz val="8"/>
            <color indexed="81"/>
            <rFont val="Tahoma"/>
            <family val="2"/>
          </rPr>
          <t>" sheet column Q.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C28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AEP:
</t>
        </r>
        <r>
          <rPr>
            <sz val="9"/>
            <color indexed="81"/>
            <rFont val="Tahoma"/>
            <family val="2"/>
          </rPr>
          <t xml:space="preserve">The SPP NTC only allows 94% of this project to be Base Plan.  Therefore, from 2014 Update onward, the indicated ATTR is based upon 94% of actual project investment.
In previous annual Updates, AEP provided 100% investment based ATRR thus SPP only collected 94% of the indicated ATRRs.  
Repeating:  from 2014 Update onward, no scaling is required by SPP as the indicated ATRR is already refelcting the 94% scaler per the original NTC.
</t>
        </r>
      </text>
    </comment>
    <comment ref="K55" authorId="2" shapeId="0" xr:uid="{00000000-0006-0000-0000-00000C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2014.  Represents Sch. 11 revenues remitted from SPP&gt;</t>
        </r>
      </text>
    </comment>
    <comment ref="Q55" authorId="3" shapeId="0" xr:uid="{00000000-0006-0000-0000-00000D000000}">
      <text>
        <r>
          <rPr>
            <b/>
            <sz val="9"/>
            <color indexed="81"/>
            <rFont val="Tahoma"/>
            <family val="2"/>
          </rPr>
          <t>S177040:</t>
        </r>
        <r>
          <rPr>
            <sz val="9"/>
            <color indexed="81"/>
            <rFont val="Tahoma"/>
            <family val="2"/>
          </rPr>
          <t xml:space="preserve">
From "33" Base Plan Interest file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updated total investment less sum of previous years depreciation.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Williamson</author>
    <author>rlp</author>
  </authors>
  <commentList>
    <comment ref="O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Mary Williamson:</t>
        </r>
        <r>
          <rPr>
            <sz val="9"/>
            <color indexed="81"/>
            <rFont val="Tahoma"/>
            <family val="2"/>
          </rPr>
          <t xml:space="preserve">
Wavetrap at Snyder portion of this project is being DA to WFEC due to the cancellation of their power plant construction.</t>
        </r>
      </text>
    </comment>
    <comment ref="D100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Updated total investment less sum of prior year(s) depreciation.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G17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Projected 2008 ARR not published in 2008 update because project not included until 2009 update.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20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&amp; prior historic values from 2010 template (not prev published).</t>
        </r>
      </text>
    </comment>
    <comment ref="D100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2007/6 historic values from 09 template calculations (not prev published).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9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&amp; prior historic values from 2010 template calculations (data not prev published).</t>
        </r>
      </text>
    </comment>
    <comment ref="D100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2008/7 hist values from 09 template (not prev published).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AEP</author>
  </authors>
  <commentList>
    <comment ref="D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Per SPP NTC, Investment (EOY) is input as 94% of actual total investment provided by Planning.</t>
        </r>
      </text>
    </comment>
    <comment ref="D2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This year's Beginning Balance changed by both an IU (investment update) as well as starting the 94% scaler.  This year (2014) reflects 1st year Investment (EOY) value is scaled 94% on the front end vs SPP scaling ARR values on the back end.</t>
        </r>
      </text>
    </comment>
  </commentList>
</comments>
</file>

<file path=xl/sharedStrings.xml><?xml version="1.0" encoding="utf-8"?>
<sst xmlns="http://schemas.openxmlformats.org/spreadsheetml/2006/main" count="4659" uniqueCount="391">
  <si>
    <t>I.</t>
  </si>
  <si>
    <t xml:space="preserve">   Project ROE Incentive Adder (Enter as whole number)</t>
  </si>
  <si>
    <t>&lt;==Incentive ROE  Cannot Exceed 12.45%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</si>
  <si>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</si>
  <si>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</si>
  <si>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</si>
  <si>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</si>
  <si>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</si>
  <si>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</si>
  <si>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</si>
  <si>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</si>
  <si>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</si>
  <si>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</si>
  <si>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</si>
  <si>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</si>
  <si>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</si>
  <si>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</si>
  <si>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</si>
  <si>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</si>
  <si>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</si>
  <si>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</si>
  <si>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</si>
  <si>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</si>
  <si>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</si>
  <si>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</si>
  <si>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</si>
  <si>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</si>
  <si>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</si>
  <si>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</si>
  <si>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</si>
  <si>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</si>
  <si>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</si>
  <si>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</si>
  <si>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</si>
  <si>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</si>
  <si>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</si>
  <si>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</si>
  <si>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</si>
  <si>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</si>
  <si>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</si>
  <si>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</si>
  <si>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</si>
  <si>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</si>
  <si>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</si>
  <si>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</si>
  <si>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</si>
  <si>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</si>
  <si>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</si>
  <si>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</si>
  <si>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TP2006087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</si>
  <si>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</si>
  <si>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</si>
  <si>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</si>
  <si>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</si>
  <si>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</si>
  <si>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</si>
  <si>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</si>
  <si>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</si>
  <si>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</si>
  <si>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</si>
  <si>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</si>
  <si>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</si>
  <si>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</si>
  <si>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</si>
  <si>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</si>
  <si>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</si>
  <si>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</si>
  <si>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</si>
  <si>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</si>
  <si>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</si>
  <si>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</si>
  <si>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</si>
  <si>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</si>
  <si>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</si>
  <si>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</si>
  <si>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</si>
  <si>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</si>
  <si>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</si>
  <si>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</si>
  <si>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</si>
  <si>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TP2007059</t>
  </si>
  <si>
    <t>TP2006054</t>
  </si>
  <si>
    <t>TP2004147</t>
  </si>
  <si>
    <t>TP2005006</t>
  </si>
  <si>
    <t>Pryor Junction 138/69 Upgrade Transf</t>
  </si>
  <si>
    <t>TP2006090</t>
  </si>
  <si>
    <t>TP2007015</t>
  </si>
  <si>
    <t>TP2005046</t>
  </si>
  <si>
    <t>TP2004033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</si>
  <si>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</si>
  <si>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</si>
  <si>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</si>
  <si>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</si>
  <si>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</si>
  <si>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</si>
  <si>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</si>
  <si>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</si>
  <si>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</si>
  <si>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</si>
  <si>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</si>
  <si>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</si>
  <si>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t xml:space="preserve">Average </t>
  </si>
  <si>
    <t>BPU Rev. Req't.From Prior Year Template</t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</si>
  <si>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</si>
  <si>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</si>
  <si>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</si>
  <si>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</si>
  <si>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</si>
  <si>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inset project name here</t>
  </si>
  <si>
    <t>Long Term Debt %</t>
  </si>
  <si>
    <t>Long Term Debt Cost</t>
  </si>
  <si>
    <t>Preferred Stock %</t>
  </si>
  <si>
    <t>Preferred Stock Cost</t>
  </si>
  <si>
    <t>Common Stock %</t>
  </si>
  <si>
    <t>EXPORT DATA to Template PSO WS F</t>
  </si>
  <si>
    <t>STEP 2</t>
  </si>
  <si>
    <t>STEP 3</t>
  </si>
  <si>
    <t>PSO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</si>
  <si>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</si>
  <si>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</si>
  <si>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</si>
  <si>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</si>
  <si>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</si>
  <si>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</si>
  <si>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PUBLIC SERVICE COMPANY OF OKLAHOMA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</si>
  <si>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</si>
  <si>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</si>
  <si>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</si>
  <si>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</si>
  <si>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</si>
  <si>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</si>
  <si>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</si>
  <si>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</si>
  <si>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</si>
  <si>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EXPORT DATA to main FR Template PSO WS G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</si>
  <si>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</si>
  <si>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</si>
  <si>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</si>
  <si>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</si>
  <si>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</si>
  <si>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</si>
  <si>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</si>
  <si>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Worksheet F --- DATA INPUT (Paste.Values) from TEMPLATE PSO WS F</t>
  </si>
  <si>
    <t>&lt;----Worksheet data is for</t>
  </si>
  <si>
    <t>Worksheet F</t>
  </si>
  <si>
    <t>Worksheet G</t>
  </si>
  <si>
    <r>
      <t>Worksheet G  --  PUBLIC SERVICE COMPANY OF OKLAHOMA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</si>
  <si>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r>
      <t>Worksheet F  --  PUBLIC SERVICE COMPANY OF OKLAHOMA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</si>
  <si>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</si>
  <si>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</si>
  <si>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 xml:space="preserve">(Worksheet F)    </t>
  </si>
  <si>
    <t xml:space="preserve">(Worksheet G)    </t>
  </si>
  <si>
    <t>basis points</t>
  </si>
  <si>
    <t>w/Incentives</t>
  </si>
  <si>
    <t xml:space="preserve">Prior Year Projected  (WS-F)  </t>
  </si>
  <si>
    <t xml:space="preserve">Prior Year True-Up  (WS-G)  </t>
  </si>
  <si>
    <t xml:space="preserve">True-Up Adjustment  </t>
  </si>
  <si>
    <t>AEP Transmission Formula Rate Template</t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</si>
  <si>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</si>
  <si>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</si>
  <si>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</si>
  <si>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</si>
  <si>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</si>
  <si>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</si>
  <si>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</si>
  <si>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</si>
  <si>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</si>
  <si>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</si>
  <si>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Base ARR</t>
  </si>
  <si>
    <t>Owner</t>
  </si>
  <si>
    <t>Year in Service</t>
  </si>
  <si>
    <t>Incentive</t>
  </si>
  <si>
    <t>Total</t>
  </si>
  <si>
    <t>True-up</t>
  </si>
  <si>
    <t>As Billed</t>
  </si>
  <si>
    <t>Change</t>
  </si>
  <si>
    <t>Interest</t>
  </si>
  <si>
    <t>PSO Total</t>
  </si>
  <si>
    <t>P.001</t>
  </si>
  <si>
    <t>Sheet Name</t>
  </si>
  <si>
    <t>P.002</t>
  </si>
  <si>
    <t>P.003</t>
  </si>
  <si>
    <t>P.004</t>
  </si>
  <si>
    <t>P.005</t>
  </si>
  <si>
    <t>P.006</t>
  </si>
  <si>
    <t>P.007</t>
  </si>
  <si>
    <t>P.008</t>
  </si>
  <si>
    <t>P.009</t>
  </si>
  <si>
    <t>Indirect References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</si>
  <si>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</si>
  <si>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</si>
  <si>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from WS-F &amp; G</t>
  </si>
  <si>
    <t>Do NOT delete.</t>
  </si>
  <si>
    <r>
      <t xml:space="preserve">TRUE-UP Adjustment </t>
    </r>
    <r>
      <rPr>
        <sz val="10"/>
        <rFont val="Arial"/>
        <family val="2"/>
      </rPr>
      <t>(WS-G)</t>
    </r>
  </si>
  <si>
    <r>
      <t xml:space="preserve">Base ARR
</t>
    </r>
    <r>
      <rPr>
        <sz val="10"/>
        <rFont val="Arial"/>
        <family val="2"/>
      </rPr>
      <t>(WS-F)</t>
    </r>
  </si>
  <si>
    <t>COLLECTION Adjustment</t>
  </si>
  <si>
    <t>Incentive ARR</t>
  </si>
  <si>
    <t>(J)</t>
  </si>
  <si>
    <t>(L)</t>
  </si>
  <si>
    <t>(O)</t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</si>
  <si>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</si>
  <si>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</si>
  <si>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</si>
  <si>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</si>
  <si>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</si>
  <si>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PROJECTED Rev. Req't From Prior Year Template</t>
  </si>
  <si>
    <t>Catoosa 138 kV Device (Cap. Bank)</t>
  </si>
  <si>
    <t>Cache-Snyder to Altus Jct. 138 kV line (w/2 ring bus stations)</t>
  </si>
  <si>
    <t>WFEC New 138 kV Ties: Sayre to Erick (WFEC) Line &amp; Atoka and Tupelo station work</t>
  </si>
  <si>
    <t>Riverside-Glenpool (81-523) Reconductor</t>
  </si>
  <si>
    <t>Craig Jct. to Broken Bow Dam 138 Rebuild (7.7mi)</t>
  </si>
  <si>
    <t>TRUE-UP Rev. Req't.From Prior Year Template</t>
  </si>
  <si>
    <t xml:space="preserve"> Worksheet G</t>
  </si>
  <si>
    <r>
      <t xml:space="preserve">As Billed
by SPP
</t>
    </r>
    <r>
      <rPr>
        <sz val="10"/>
        <rFont val="Arial"/>
        <family val="2"/>
      </rPr>
      <t>(for Prior Yr
T-Service)</t>
    </r>
  </si>
  <si>
    <t>Elk City - Elk City 69 kV line (CT Upgrades)*</t>
  </si>
  <si>
    <t>Weleetka &amp; Okmulgee Wavetrap replacement 81-805*</t>
  </si>
  <si>
    <t>Tulsa Southeast Upgrade (repl switches)*</t>
  </si>
  <si>
    <t>*&lt;$100K investment</t>
  </si>
  <si>
    <t xml:space="preserve">∑ Prior Year True-Up  (WS-G)  </t>
  </si>
  <si>
    <t xml:space="preserve">∑ Prior Year Projected  (WS-F)  </t>
  </si>
  <si>
    <r>
      <t xml:space="preserve">Total Adjustments
</t>
    </r>
    <r>
      <rPr>
        <sz val="8"/>
        <rFont val="Arial"/>
        <family val="2"/>
      </rPr>
      <t>(True-Up, Billing, &amp; Interest)</t>
    </r>
  </si>
  <si>
    <t>TP2009011</t>
  </si>
  <si>
    <t>P.010</t>
  </si>
  <si>
    <t>Projected ADJUSTED ARR from Prior Update</t>
  </si>
  <si>
    <t>*</t>
  </si>
  <si>
    <t>column to left (Q).</t>
  </si>
  <si>
    <t>Investment (EOY)</t>
  </si>
  <si>
    <t>Worksheet G ---- DATA INPUT (Paste.Values) from main FR TEMPLATE PSO WS G</t>
  </si>
  <si>
    <t>TP2008079-PSO</t>
  </si>
  <si>
    <t>Bartlesville SE to Coffeyville T Rebuild</t>
  </si>
  <si>
    <t>P.011</t>
  </si>
  <si>
    <t xml:space="preserve">   Determine R  (cost of long term debt, cost of preferred stock and percent is from Projected TCOS, lns 147 through 149)</t>
  </si>
  <si>
    <t xml:space="preserve">   Determine R  (cost of long term debt, cost of preferred stock and percent is from True-Up TCOS, lns 134 through 136)</t>
  </si>
  <si>
    <t>TP2009095-PSO</t>
  </si>
  <si>
    <t>Canadian River - McAlester City 138 kV Line Conversion</t>
  </si>
  <si>
    <t>P.012</t>
  </si>
  <si>
    <t>TP2008013</t>
  </si>
  <si>
    <t>P.013</t>
  </si>
  <si>
    <t>TP2009092</t>
  </si>
  <si>
    <t>Ashdown West - Craig Junction</t>
  </si>
  <si>
    <t>P.014</t>
  </si>
  <si>
    <t>NOTE:</t>
  </si>
  <si>
    <t>To INSERT a new project line item (row)</t>
  </si>
  <si>
    <t>1.   Insert blank row(s) for new project(s) between TOTAL row and existing last project row.</t>
  </si>
  <si>
    <t>2.  Copy entire contents of last project Row, then Paste into new blank row(s), again….leave 1 blank row to maintain summing formulas.</t>
  </si>
  <si>
    <t>0a.  Always maintain a blank row between TOTAL and last project (this maintains summing formulas in Totalization row.</t>
  </si>
  <si>
    <t>0b.   Always add and fill out new P.0xx Project Sheet(s) before inserting rows on this summary sheet.</t>
  </si>
  <si>
    <t>3.  In the SheetName column in this sheet…change the P.0xx type number(s) to match the corresponding newly added P.0xx sheets.</t>
  </si>
  <si>
    <t>WFEC DA Adjustment</t>
  </si>
  <si>
    <t>TP2009093</t>
  </si>
  <si>
    <t>Locust Grove to Lone Star 115 kV Rebuild 2.1 miles</t>
  </si>
  <si>
    <t>TP2011093</t>
  </si>
  <si>
    <t>Cornville Station Conversion</t>
  </si>
  <si>
    <t>P.015</t>
  </si>
  <si>
    <t>P.016</t>
  </si>
  <si>
    <t>Wavetrap Clinton City-Foss Tap 69kV Ckt 1*</t>
  </si>
  <si>
    <t>CoffeyvilleT to Dearing 138 kv Rebuild - 1.1 mi*</t>
  </si>
  <si>
    <t>Note:  Project's whose investment cost do NOT meet SPP's $100,000 threshold for 'regional' socialization are marked with an asterik "*" as SPP will only collect those ATRRs from the zone.</t>
  </si>
  <si>
    <t xml:space="preserve">  SPP Project ID = 649</t>
  </si>
  <si>
    <t xml:space="preserve">  SPP Project ID = 30346</t>
  </si>
  <si>
    <t>NOTE:  Original NTC indicates only 94% to be Base Plan.</t>
  </si>
  <si>
    <t>&lt;&lt; 2014-present ARR values based on 94% actual cost.  Yrs 2011-13 ARR values based on 100% actual cost (SPP scaled ARR data) &gt;&gt;</t>
  </si>
  <si>
    <t>Grady Customer Connection</t>
  </si>
  <si>
    <t>Darlington-Red Rock 138 kV line</t>
  </si>
  <si>
    <t>P.017</t>
  </si>
  <si>
    <t>P.018</t>
  </si>
  <si>
    <t>***Sch. 11 recovery commenced in 2015 rate year***</t>
  </si>
  <si>
    <t xml:space="preserve"> &lt;--- this value goes to sched 11 interest support file - line 17</t>
  </si>
  <si>
    <t>TP2012112</t>
  </si>
  <si>
    <t xml:space="preserve">***Sch. 11 recovery commenced in the 2015 rate year.  Beg Bal = to depreciated balance as of 1/1/15. *** </t>
  </si>
  <si>
    <t>P.019</t>
  </si>
  <si>
    <t>P.020</t>
  </si>
  <si>
    <t>P.021</t>
  </si>
  <si>
    <t>P.022</t>
  </si>
  <si>
    <t>Darlington-Roman Nose 138 kV</t>
  </si>
  <si>
    <t>Northeastern Station 138 kV Terminal Upgrades</t>
  </si>
  <si>
    <t>Valliant-NW Texarkana 345 kV</t>
  </si>
  <si>
    <t>Sayre 138 kV Capacitor Bank Addition</t>
  </si>
  <si>
    <t>&lt;==From Input on Worksheet A</t>
  </si>
  <si>
    <t>Current Projected Year ARR</t>
  </si>
  <si>
    <t>Current Projected Year ARR w/ Incentive</t>
  </si>
  <si>
    <t>Beg/Ending 
Average
Revenue</t>
  </si>
  <si>
    <t>Beg/Ending
Average
Revenue Req't.</t>
  </si>
  <si>
    <t xml:space="preserve">       Taxable Percentage of Revenue (22%)</t>
  </si>
  <si>
    <t xml:space="preserve">Worksheet F </t>
  </si>
  <si>
    <t xml:space="preserve">   FCR less Depreciation  (Projected TCOS, ln 12)</t>
  </si>
  <si>
    <t>TP2013002</t>
  </si>
  <si>
    <t xml:space="preserve">  SPP Project ID = 30748</t>
  </si>
  <si>
    <t xml:space="preserve">  SPP Project ID = 770</t>
  </si>
  <si>
    <t xml:space="preserve">  SPP Project ID = 295</t>
  </si>
  <si>
    <t xml:space="preserve">  SPP Project ID = 767</t>
  </si>
  <si>
    <t>TP2009089</t>
  </si>
  <si>
    <t xml:space="preserve">  SPP Project ID = 936</t>
  </si>
  <si>
    <t>TP2015202</t>
  </si>
  <si>
    <t xml:space="preserve">  SPP Project ID = 30997</t>
  </si>
  <si>
    <t>TP2015027</t>
  </si>
  <si>
    <t xml:space="preserve">  SPP Project ID = 30619</t>
  </si>
  <si>
    <t>TP2015169</t>
  </si>
  <si>
    <t xml:space="preserve">  SPP Project ID = 31003</t>
  </si>
  <si>
    <t>Elk City 138KV Move Load</t>
  </si>
  <si>
    <t>TP2011110</t>
  </si>
  <si>
    <t xml:space="preserve">  SPP Project ID = 31005</t>
  </si>
  <si>
    <t>Duncan-Comanche Tap 69 KV Rebuild</t>
  </si>
  <si>
    <t>TP2015191</t>
  </si>
  <si>
    <t xml:space="preserve">  SPP Project ID = 31009</t>
  </si>
  <si>
    <t>P.023</t>
  </si>
  <si>
    <t>P.024</t>
  </si>
  <si>
    <t xml:space="preserve">   ROE w/o incentives  (Projected TCOS, ln 148)</t>
  </si>
  <si>
    <t>Annual Depreciation Expense  (Historic TCOS, ln 244)</t>
  </si>
  <si>
    <t>Fort Towson-Valliant Line Rebuild</t>
  </si>
  <si>
    <t>TP2015204</t>
  </si>
  <si>
    <t>P.025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</si>
  <si>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</si>
  <si>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</si>
  <si>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</si>
  <si>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</si>
  <si>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</si>
  <si>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</si>
  <si>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</si>
  <si>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</si>
  <si>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</si>
  <si>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</si>
  <si>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</si>
  <si>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</si>
  <si>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</si>
  <si>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>P.026</t>
  </si>
  <si>
    <t>P.027</t>
  </si>
  <si>
    <t>Tulsa Southeast - E. 61st St 138 kV Rebuild</t>
  </si>
  <si>
    <t>Broken Arrow North-Lynn Lane East 138 kV</t>
  </si>
  <si>
    <t>TP2017011</t>
  </si>
  <si>
    <t>TP2017016</t>
  </si>
  <si>
    <t>Keystone Dam - Wekiwa 138 kV</t>
  </si>
  <si>
    <t>P.028</t>
  </si>
  <si>
    <t>Transmission Plant Average Balance for 2020</t>
  </si>
  <si>
    <t>TP2015118</t>
  </si>
  <si>
    <t xml:space="preserve">  SPP Project ID = 30809</t>
  </si>
  <si>
    <t>Tulsa SE - E 21st St Tap 138 kV</t>
  </si>
  <si>
    <t xml:space="preserve">  SPP Project ID = 81523</t>
  </si>
  <si>
    <t>P.029</t>
  </si>
  <si>
    <t>TP2020033</t>
  </si>
  <si>
    <t>Pryor Junction 138/115 kV</t>
  </si>
  <si>
    <t>TP2019132</t>
  </si>
  <si>
    <t xml:space="preserve">  SPP Project ID = 81571</t>
  </si>
  <si>
    <t>Tulsa SE - S Hudson 138 kV</t>
  </si>
  <si>
    <t>TP20033002</t>
  </si>
  <si>
    <t xml:space="preserve">  SPP Project ID = 81520</t>
  </si>
  <si>
    <t>P.030</t>
  </si>
  <si>
    <t>P.031</t>
  </si>
  <si>
    <t xml:space="preserve"> </t>
  </si>
  <si>
    <t xml:space="preserve">   ROE w/o incentives  (TCOS, ln 143)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</si>
  <si>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</si>
  <si>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</si>
  <si>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</si>
  <si>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</si>
  <si>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</si>
  <si>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</si>
  <si>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</si>
  <si>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</si>
  <si>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 FCR less Depreciation  (TCOS, ln 10)</t>
  </si>
  <si>
    <t>Annual Depreciation Expense  (TCOS, ln 86)</t>
  </si>
  <si>
    <t>Catoosa-Blue Circle Rebuild</t>
  </si>
  <si>
    <t>TP2021281</t>
  </si>
  <si>
    <t>TP2020266</t>
  </si>
  <si>
    <t>Chisholm Substation 345 kV Terminal Upgrades</t>
  </si>
  <si>
    <t>TP2019146</t>
  </si>
  <si>
    <t>Sooner - Wekiwa 345 kV Terminal Upgrades</t>
  </si>
  <si>
    <t>Line - Osage - Webb City Tap - Shidler 138 kV Rebuild</t>
  </si>
  <si>
    <t>TA2020138</t>
  </si>
  <si>
    <t>P.032</t>
  </si>
  <si>
    <t>P.033</t>
  </si>
  <si>
    <t>P.034</t>
  </si>
  <si>
    <t>P.035</t>
  </si>
  <si>
    <t>SPP Project ID = 93038</t>
  </si>
  <si>
    <t>SPP Project ID =</t>
  </si>
  <si>
    <t>112 &amp; 117</t>
  </si>
  <si>
    <t>106 &amp; 119</t>
  </si>
  <si>
    <t>3 &amp; 4</t>
  </si>
  <si>
    <t xml:space="preserve">  SPP Project ID = 30746</t>
  </si>
  <si>
    <t xml:space="preserve">  SPP Project ID = 31058</t>
  </si>
  <si>
    <t xml:space="preserve">  SPP Project ID = 41202</t>
  </si>
  <si>
    <t xml:space="preserve">  SPP Project ID = 41233</t>
  </si>
  <si>
    <t xml:space="preserve">  SPP Project ID = 92114</t>
  </si>
  <si>
    <t xml:space="preserve">  SPP Project ID = 81717</t>
  </si>
  <si>
    <t xml:space="preserve">  SPP Project ID = 81561</t>
  </si>
  <si>
    <t>Transmission Plant Average Balance for 2024 (WS A-1 Ln 14 Col (d))</t>
  </si>
  <si>
    <t>TP2019245</t>
  </si>
  <si>
    <t>SPP Project ID = 81500</t>
  </si>
  <si>
    <t>Riverside Station 138 kV Breakers</t>
  </si>
  <si>
    <t>True-Up ARR CY 2025 From Worksheet G  (includes adjustment for SPP Collections)</t>
  </si>
  <si>
    <t>2025 NOLC FERC Order Refund with Interest</t>
  </si>
  <si>
    <t>P.036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</si>
</sst>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_);_(* \(#,##0.00000\);_(* &quot;-&quot;??_);_(@_)"/>
    <numFmt numFmtId="175" formatCode="_(&quot;$&quot;* #,##0.0000000_);_(&quot;$&quot;* \(#,##0.0000000\);_(&quot;$&quot;* &quot;-&quot;??_);_(@_)"/>
    <numFmt numFmtId="176" formatCode="_(* #,##0.0000000000_);_(* \(#,##0.0000000000\);_(* &quot;-&quot;??_);_(@_)"/>
    <numFmt numFmtId="177" formatCode="&quot;$&quot;#,##0\ ;\(&quot;$&quot;#,##0\)"/>
    <numFmt numFmtId="178" formatCode="_(* #,##0.0,_);_(* \(#,##0.0,\);_(* &quot;-   &quot;_);_(@_)"/>
    <numFmt numFmtId="179" formatCode="0.0000%"/>
    <numFmt numFmtId="180" formatCode="0_);\(0\)"/>
  </numFmts>
  <fonts count="123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FF"/>
      <name val="Arial"/>
      <family val="2"/>
    </font>
    <font>
      <sz val="10"/>
      <color rgb="FF0033CC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5">
    <xf numFmtId="0" fontId="0" fillId="0" borderId="0"/>
    <xf numFmtId="0" fontId="2" fillId="2" borderId="0" applyNumberFormat="0" applyBorder="0" applyAlignment="0" applyProtection="0"/>
    <xf numFmtId="0" fontId="104" fillId="30" borderId="0" applyNumberFormat="0" applyBorder="0" applyAlignment="0" applyProtection="0"/>
    <xf numFmtId="0" fontId="81" fillId="2" borderId="0" applyNumberFormat="0" applyBorder="0" applyAlignment="0" applyProtection="0"/>
    <xf numFmtId="0" fontId="2" fillId="3" borderId="0" applyNumberFormat="0" applyBorder="0" applyAlignment="0" applyProtection="0"/>
    <xf numFmtId="0" fontId="104" fillId="31" borderId="0" applyNumberFormat="0" applyBorder="0" applyAlignment="0" applyProtection="0"/>
    <xf numFmtId="0" fontId="81" fillId="3" borderId="0" applyNumberFormat="0" applyBorder="0" applyAlignment="0" applyProtection="0"/>
    <xf numFmtId="0" fontId="2" fillId="4" borderId="0" applyNumberFormat="0" applyBorder="0" applyAlignment="0" applyProtection="0"/>
    <xf numFmtId="0" fontId="104" fillId="32" borderId="0" applyNumberFormat="0" applyBorder="0" applyAlignment="0" applyProtection="0"/>
    <xf numFmtId="0" fontId="81" fillId="4" borderId="0" applyNumberFormat="0" applyBorder="0" applyAlignment="0" applyProtection="0"/>
    <xf numFmtId="0" fontId="2" fillId="5" borderId="0" applyNumberFormat="0" applyBorder="0" applyAlignment="0" applyProtection="0"/>
    <xf numFmtId="0" fontId="104" fillId="33" borderId="0" applyNumberFormat="0" applyBorder="0" applyAlignment="0" applyProtection="0"/>
    <xf numFmtId="0" fontId="81" fillId="5" borderId="0" applyNumberFormat="0" applyBorder="0" applyAlignment="0" applyProtection="0"/>
    <xf numFmtId="0" fontId="2" fillId="6" borderId="0" applyNumberFormat="0" applyBorder="0" applyAlignment="0" applyProtection="0"/>
    <xf numFmtId="0" fontId="104" fillId="34" borderId="0" applyNumberFormat="0" applyBorder="0" applyAlignment="0" applyProtection="0"/>
    <xf numFmtId="0" fontId="81" fillId="6" borderId="0" applyNumberFormat="0" applyBorder="0" applyAlignment="0" applyProtection="0"/>
    <xf numFmtId="0" fontId="2" fillId="7" borderId="0" applyNumberFormat="0" applyBorder="0" applyAlignment="0" applyProtection="0"/>
    <xf numFmtId="0" fontId="104" fillId="35" borderId="0" applyNumberFormat="0" applyBorder="0" applyAlignment="0" applyProtection="0"/>
    <xf numFmtId="0" fontId="81" fillId="7" borderId="0" applyNumberFormat="0" applyBorder="0" applyAlignment="0" applyProtection="0"/>
    <xf numFmtId="0" fontId="2" fillId="8" borderId="0" applyNumberFormat="0" applyBorder="0" applyAlignment="0" applyProtection="0"/>
    <xf numFmtId="0" fontId="104" fillId="36" borderId="0" applyNumberFormat="0" applyBorder="0" applyAlignment="0" applyProtection="0"/>
    <xf numFmtId="0" fontId="81" fillId="8" borderId="0" applyNumberFormat="0" applyBorder="0" applyAlignment="0" applyProtection="0"/>
    <xf numFmtId="0" fontId="2" fillId="9" borderId="0" applyNumberFormat="0" applyBorder="0" applyAlignment="0" applyProtection="0"/>
    <xf numFmtId="0" fontId="104" fillId="37" borderId="0" applyNumberFormat="0" applyBorder="0" applyAlignment="0" applyProtection="0"/>
    <xf numFmtId="0" fontId="81" fillId="9" borderId="0" applyNumberFormat="0" applyBorder="0" applyAlignment="0" applyProtection="0"/>
    <xf numFmtId="0" fontId="2" fillId="10" borderId="0" applyNumberFormat="0" applyBorder="0" applyAlignment="0" applyProtection="0"/>
    <xf numFmtId="0" fontId="104" fillId="38" borderId="0" applyNumberFormat="0" applyBorder="0" applyAlignment="0" applyProtection="0"/>
    <xf numFmtId="0" fontId="81" fillId="10" borderId="0" applyNumberFormat="0" applyBorder="0" applyAlignment="0" applyProtection="0"/>
    <xf numFmtId="0" fontId="2" fillId="5" borderId="0" applyNumberFormat="0" applyBorder="0" applyAlignment="0" applyProtection="0"/>
    <xf numFmtId="0" fontId="104" fillId="39" borderId="0" applyNumberFormat="0" applyBorder="0" applyAlignment="0" applyProtection="0"/>
    <xf numFmtId="0" fontId="81" fillId="5" borderId="0" applyNumberFormat="0" applyBorder="0" applyAlignment="0" applyProtection="0"/>
    <xf numFmtId="0" fontId="2" fillId="8" borderId="0" applyNumberFormat="0" applyBorder="0" applyAlignment="0" applyProtection="0"/>
    <xf numFmtId="0" fontId="104" fillId="40" borderId="0" applyNumberFormat="0" applyBorder="0" applyAlignment="0" applyProtection="0"/>
    <xf numFmtId="0" fontId="81" fillId="8" borderId="0" applyNumberFormat="0" applyBorder="0" applyAlignment="0" applyProtection="0"/>
    <xf numFmtId="0" fontId="2" fillId="11" borderId="0" applyNumberFormat="0" applyBorder="0" applyAlignment="0" applyProtection="0"/>
    <xf numFmtId="0" fontId="104" fillId="41" borderId="0" applyNumberFormat="0" applyBorder="0" applyAlignment="0" applyProtection="0"/>
    <xf numFmtId="0" fontId="81" fillId="11" borderId="0" applyNumberFormat="0" applyBorder="0" applyAlignment="0" applyProtection="0"/>
    <xf numFmtId="0" fontId="3" fillId="12" borderId="0" applyNumberFormat="0" applyBorder="0" applyAlignment="0" applyProtection="0"/>
    <xf numFmtId="0" fontId="105" fillId="42" borderId="0" applyNumberFormat="0" applyBorder="0" applyAlignment="0" applyProtection="0"/>
    <xf numFmtId="0" fontId="87" fillId="12" borderId="0" applyNumberFormat="0" applyBorder="0" applyAlignment="0" applyProtection="0"/>
    <xf numFmtId="0" fontId="3" fillId="9" borderId="0" applyNumberFormat="0" applyBorder="0" applyAlignment="0" applyProtection="0"/>
    <xf numFmtId="0" fontId="105" fillId="43" borderId="0" applyNumberFormat="0" applyBorder="0" applyAlignment="0" applyProtection="0"/>
    <xf numFmtId="0" fontId="87" fillId="9" borderId="0" applyNumberFormat="0" applyBorder="0" applyAlignment="0" applyProtection="0"/>
    <xf numFmtId="0" fontId="3" fillId="10" borderId="0" applyNumberFormat="0" applyBorder="0" applyAlignment="0" applyProtection="0"/>
    <xf numFmtId="0" fontId="105" fillId="44" borderId="0" applyNumberFormat="0" applyBorder="0" applyAlignment="0" applyProtection="0"/>
    <xf numFmtId="0" fontId="87" fillId="10" borderId="0" applyNumberFormat="0" applyBorder="0" applyAlignment="0" applyProtection="0"/>
    <xf numFmtId="0" fontId="3" fillId="13" borderId="0" applyNumberFormat="0" applyBorder="0" applyAlignment="0" applyProtection="0"/>
    <xf numFmtId="0" fontId="105" fillId="45" borderId="0" applyNumberFormat="0" applyBorder="0" applyAlignment="0" applyProtection="0"/>
    <xf numFmtId="0" fontId="87" fillId="13" borderId="0" applyNumberFormat="0" applyBorder="0" applyAlignment="0" applyProtection="0"/>
    <xf numFmtId="0" fontId="3" fillId="14" borderId="0" applyNumberFormat="0" applyBorder="0" applyAlignment="0" applyProtection="0"/>
    <xf numFmtId="0" fontId="105" fillId="46" borderId="0" applyNumberFormat="0" applyBorder="0" applyAlignment="0" applyProtection="0"/>
    <xf numFmtId="0" fontId="87" fillId="14" borderId="0" applyNumberFormat="0" applyBorder="0" applyAlignment="0" applyProtection="0"/>
    <xf numFmtId="0" fontId="3" fillId="15" borderId="0" applyNumberFormat="0" applyBorder="0" applyAlignment="0" applyProtection="0"/>
    <xf numFmtId="0" fontId="105" fillId="47" borderId="0" applyNumberFormat="0" applyBorder="0" applyAlignment="0" applyProtection="0"/>
    <xf numFmtId="0" fontId="87" fillId="15" borderId="0" applyNumberFormat="0" applyBorder="0" applyAlignment="0" applyProtection="0"/>
    <xf numFmtId="0" fontId="3" fillId="16" borderId="0" applyNumberFormat="0" applyBorder="0" applyAlignment="0" applyProtection="0"/>
    <xf numFmtId="0" fontId="105" fillId="48" borderId="0" applyNumberFormat="0" applyBorder="0" applyAlignment="0" applyProtection="0"/>
    <xf numFmtId="0" fontId="87" fillId="16" borderId="0" applyNumberFormat="0" applyBorder="0" applyAlignment="0" applyProtection="0"/>
    <xf numFmtId="0" fontId="3" fillId="17" borderId="0" applyNumberFormat="0" applyBorder="0" applyAlignment="0" applyProtection="0"/>
    <xf numFmtId="0" fontId="105" fillId="49" borderId="0" applyNumberFormat="0" applyBorder="0" applyAlignment="0" applyProtection="0"/>
    <xf numFmtId="0" fontId="87" fillId="17" borderId="0" applyNumberFormat="0" applyBorder="0" applyAlignment="0" applyProtection="0"/>
    <xf numFmtId="0" fontId="3" fillId="18" borderId="0" applyNumberFormat="0" applyBorder="0" applyAlignment="0" applyProtection="0"/>
    <xf numFmtId="0" fontId="105" fillId="50" borderId="0" applyNumberFormat="0" applyBorder="0" applyAlignment="0" applyProtection="0"/>
    <xf numFmtId="0" fontId="87" fillId="18" borderId="0" applyNumberFormat="0" applyBorder="0" applyAlignment="0" applyProtection="0"/>
    <xf numFmtId="0" fontId="3" fillId="13" borderId="0" applyNumberFormat="0" applyBorder="0" applyAlignment="0" applyProtection="0"/>
    <xf numFmtId="0" fontId="105" fillId="51" borderId="0" applyNumberFormat="0" applyBorder="0" applyAlignment="0" applyProtection="0"/>
    <xf numFmtId="0" fontId="87" fillId="13" borderId="0" applyNumberFormat="0" applyBorder="0" applyAlignment="0" applyProtection="0"/>
    <xf numFmtId="0" fontId="3" fillId="14" borderId="0" applyNumberFormat="0" applyBorder="0" applyAlignment="0" applyProtection="0"/>
    <xf numFmtId="0" fontId="105" fillId="52" borderId="0" applyNumberFormat="0" applyBorder="0" applyAlignment="0" applyProtection="0"/>
    <xf numFmtId="0" fontId="87" fillId="14" borderId="0" applyNumberFormat="0" applyBorder="0" applyAlignment="0" applyProtection="0"/>
    <xf numFmtId="0" fontId="3" fillId="19" borderId="0" applyNumberFormat="0" applyBorder="0" applyAlignment="0" applyProtection="0"/>
    <xf numFmtId="0" fontId="105" fillId="53" borderId="0" applyNumberFormat="0" applyBorder="0" applyAlignment="0" applyProtection="0"/>
    <xf numFmtId="0" fontId="87" fillId="19" borderId="0" applyNumberFormat="0" applyBorder="0" applyAlignment="0" applyProtection="0"/>
    <xf numFmtId="0" fontId="4" fillId="3" borderId="0" applyNumberFormat="0" applyBorder="0" applyAlignment="0" applyProtection="0"/>
    <xf numFmtId="0" fontId="106" fillId="54" borderId="0" applyNumberFormat="0" applyBorder="0" applyAlignment="0" applyProtection="0"/>
    <xf numFmtId="0" fontId="88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07" fillId="55" borderId="48" applyNumberFormat="0" applyAlignment="0" applyProtection="0"/>
    <xf numFmtId="0" fontId="89" fillId="20" borderId="3" applyNumberFormat="0" applyAlignment="0" applyProtection="0"/>
    <xf numFmtId="0" fontId="23" fillId="21" borderId="4" applyNumberFormat="0" applyAlignment="0" applyProtection="0"/>
    <xf numFmtId="0" fontId="108" fillId="56" borderId="49" applyNumberFormat="0" applyAlignment="0" applyProtection="0"/>
    <xf numFmtId="0" fontId="90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5" fontId="7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5" fontId="7" fillId="0" borderId="0" applyFont="0" applyFill="0" applyBorder="0" applyAlignment="0" applyProtection="0"/>
    <xf numFmtId="177" fontId="99" fillId="0" borderId="0" applyFont="0" applyFill="0" applyBorder="0" applyAlignment="0" applyProtection="0"/>
    <xf numFmtId="5" fontId="7" fillId="0" borderId="0" applyFont="0" applyFill="0" applyBorder="0" applyAlignment="0" applyProtection="0"/>
    <xf numFmtId="177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0" fontId="25" fillId="4" borderId="0" applyNumberFormat="0" applyBorder="0" applyAlignment="0" applyProtection="0"/>
    <xf numFmtId="0" fontId="110" fillId="57" borderId="0" applyNumberFormat="0" applyBorder="0" applyAlignment="0" applyProtection="0"/>
    <xf numFmtId="0" fontId="92" fillId="4" borderId="0" applyNumberFormat="0" applyBorder="0" applyAlignment="0" applyProtection="0"/>
    <xf numFmtId="0" fontId="26" fillId="0" borderId="0" applyFont="0" applyFill="0" applyBorder="0" applyAlignment="0" applyProtection="0"/>
    <xf numFmtId="0" fontId="111" fillId="0" borderId="50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2" fillId="0" borderId="51" applyNumberFormat="0" applyFill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3" fillId="0" borderId="52" applyNumberFormat="0" applyFill="0" applyAlignment="0" applyProtection="0"/>
    <xf numFmtId="0" fontId="93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4" fillId="58" borderId="48" applyNumberFormat="0" applyAlignment="0" applyProtection="0"/>
    <xf numFmtId="0" fontId="94" fillId="7" borderId="3" applyNumberFormat="0" applyAlignment="0" applyProtection="0"/>
    <xf numFmtId="0" fontId="31" fillId="0" borderId="7" applyNumberFormat="0" applyFill="0" applyAlignment="0" applyProtection="0"/>
    <xf numFmtId="0" fontId="115" fillId="0" borderId="53" applyNumberFormat="0" applyFill="0" applyAlignment="0" applyProtection="0"/>
    <xf numFmtId="0" fontId="95" fillId="0" borderId="7" applyNumberFormat="0" applyFill="0" applyAlignment="0" applyProtection="0"/>
    <xf numFmtId="178" fontId="80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0" fontId="32" fillId="22" borderId="0" applyNumberFormat="0" applyBorder="0" applyAlignment="0" applyProtection="0"/>
    <xf numFmtId="0" fontId="116" fillId="59" borderId="0" applyNumberFormat="0" applyBorder="0" applyAlignment="0" applyProtection="0"/>
    <xf numFmtId="0" fontId="96" fillId="22" borderId="0" applyNumberFormat="0" applyBorder="0" applyAlignment="0" applyProtection="0"/>
    <xf numFmtId="0" fontId="104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00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103" fillId="0" borderId="0"/>
    <xf numFmtId="0" fontId="103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04" fillId="0" borderId="0"/>
    <xf numFmtId="0" fontId="35" fillId="0" borderId="0"/>
    <xf numFmtId="0" fontId="104" fillId="0" borderId="0"/>
    <xf numFmtId="0" fontId="7" fillId="0" borderId="0"/>
    <xf numFmtId="0" fontId="7" fillId="0" borderId="0"/>
    <xf numFmtId="0" fontId="104" fillId="0" borderId="0"/>
    <xf numFmtId="0" fontId="35" fillId="0" borderId="0"/>
    <xf numFmtId="0" fontId="104" fillId="0" borderId="0"/>
    <xf numFmtId="0" fontId="35" fillId="0" borderId="0"/>
    <xf numFmtId="169" fontId="33" fillId="0" borderId="0" applyProtection="0"/>
    <xf numFmtId="0" fontId="33" fillId="23" borderId="8" applyNumberFormat="0" applyFont="0" applyAlignment="0" applyProtection="0"/>
    <xf numFmtId="0" fontId="81" fillId="60" borderId="54" applyNumberFormat="0" applyFont="0" applyAlignment="0" applyProtection="0"/>
    <xf numFmtId="0" fontId="7" fillId="23" borderId="8" applyNumberFormat="0" applyFont="0" applyAlignment="0" applyProtection="0"/>
    <xf numFmtId="0" fontId="81" fillId="60" borderId="54" applyNumberFormat="0" applyFont="0" applyAlignment="0" applyProtection="0"/>
    <xf numFmtId="0" fontId="7" fillId="23" borderId="8" applyNumberFormat="0" applyFont="0" applyAlignment="0" applyProtection="0"/>
    <xf numFmtId="0" fontId="81" fillId="60" borderId="54" applyNumberFormat="0" applyFont="0" applyAlignment="0" applyProtection="0"/>
    <xf numFmtId="0" fontId="34" fillId="20" borderId="9" applyNumberFormat="0" applyAlignment="0" applyProtection="0"/>
    <xf numFmtId="0" fontId="117" fillId="55" borderId="55" applyNumberFormat="0" applyAlignment="0" applyProtection="0"/>
    <xf numFmtId="0" fontId="97" fillId="20" borderId="9" applyNumberFormat="0" applyAlignment="0" applyProtection="0"/>
    <xf numFmtId="9" fontId="1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19" fillId="0" borderId="56" applyNumberFormat="0" applyFill="0" applyAlignment="0" applyProtection="0"/>
    <xf numFmtId="0" fontId="99" fillId="0" borderId="1" applyNumberFormat="0" applyFont="0" applyFill="0" applyAlignment="0" applyProtection="0"/>
    <xf numFmtId="0" fontId="99" fillId="0" borderId="1" applyNumberFormat="0" applyFont="0" applyFill="0" applyAlignment="0" applyProtection="0"/>
    <xf numFmtId="0" fontId="99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98" fillId="0" borderId="0" applyNumberFormat="0" applyFill="0" applyBorder="0" applyAlignment="0" applyProtection="0"/>
  </cellStyleXfs>
  <cellXfs count="546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17" applyNumberFormat="1" applyFont="1"/>
    <xf numFmtId="0" fontId="47" fillId="0" borderId="0" xfId="0" applyFont="1"/>
    <xf numFmtId="0" fontId="0" fillId="0" borderId="0" xfId="0" applyAlignment="1">
      <alignment wrapText="1"/>
    </xf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10" fontId="7" fillId="0" borderId="0" xfId="0" applyNumberFormat="1" applyFont="1"/>
    <xf numFmtId="0" fontId="14" fillId="0" borderId="0" xfId="549" applyNumberFormat="1" applyFont="1" applyProtection="1">
      <protection locked="0"/>
    </xf>
    <xf numFmtId="0" fontId="6" fillId="0" borderId="0" xfId="0" applyFont="1"/>
    <xf numFmtId="0" fontId="7" fillId="0" borderId="0" xfId="0" applyFont="1" applyAlignment="1">
      <alignment wrapText="1"/>
    </xf>
    <xf numFmtId="170" fontId="7" fillId="0" borderId="0" xfId="0" applyNumberFormat="1" applyFont="1"/>
    <xf numFmtId="0" fontId="46" fillId="0" borderId="0" xfId="0" applyFont="1" applyAlignment="1">
      <alignment horizontal="right"/>
    </xf>
    <xf numFmtId="170" fontId="7" fillId="0" borderId="0" xfId="117" applyNumberFormat="1" applyFont="1" applyBorder="1"/>
    <xf numFmtId="0" fontId="39" fillId="0" borderId="0" xfId="0" applyFont="1" applyAlignment="1">
      <alignment horizontal="left"/>
    </xf>
    <xf numFmtId="0" fontId="51" fillId="27" borderId="0" xfId="117" applyNumberFormat="1" applyFont="1" applyFill="1" applyAlignment="1">
      <alignment horizontal="left"/>
    </xf>
    <xf numFmtId="0" fontId="39" fillId="0" borderId="17" xfId="0" applyFont="1" applyBorder="1"/>
    <xf numFmtId="0" fontId="39" fillId="0" borderId="18" xfId="0" applyFont="1" applyBorder="1"/>
    <xf numFmtId="0" fontId="7" fillId="0" borderId="18" xfId="0" applyFont="1" applyBorder="1"/>
    <xf numFmtId="170" fontId="39" fillId="0" borderId="19" xfId="117" applyNumberFormat="1" applyFont="1" applyBorder="1"/>
    <xf numFmtId="0" fontId="14" fillId="0" borderId="0" xfId="117" applyNumberFormat="1" applyFont="1" applyFill="1" applyAlignment="1">
      <alignment horizontal="left"/>
    </xf>
    <xf numFmtId="0" fontId="14" fillId="0" borderId="0" xfId="117" applyNumberFormat="1" applyFont="1" applyFill="1" applyBorder="1" applyAlignment="1">
      <alignment horizontal="left"/>
    </xf>
    <xf numFmtId="0" fontId="39" fillId="0" borderId="13" xfId="0" applyFont="1" applyBorder="1"/>
    <xf numFmtId="0" fontId="9" fillId="0" borderId="0" xfId="117" applyNumberFormat="1" applyFont="1" applyFill="1" applyBorder="1" applyAlignment="1">
      <alignment horizontal="left"/>
    </xf>
    <xf numFmtId="170" fontId="39" fillId="0" borderId="20" xfId="117" applyNumberFormat="1" applyFont="1" applyBorder="1"/>
    <xf numFmtId="0" fontId="39" fillId="0" borderId="0" xfId="0" applyFont="1"/>
    <xf numFmtId="170" fontId="39" fillId="0" borderId="15" xfId="117" applyNumberFormat="1" applyFont="1" applyBorder="1"/>
    <xf numFmtId="170" fontId="7" fillId="0" borderId="6" xfId="117" applyNumberFormat="1" applyFont="1" applyBorder="1"/>
    <xf numFmtId="170" fontId="7" fillId="0" borderId="16" xfId="117" applyNumberFormat="1" applyFont="1" applyBorder="1"/>
    <xf numFmtId="0" fontId="53" fillId="0" borderId="0" xfId="0" applyFont="1"/>
    <xf numFmtId="0" fontId="39" fillId="0" borderId="21" xfId="0" applyFont="1" applyBorder="1" applyAlignment="1">
      <alignment horizontal="center"/>
    </xf>
    <xf numFmtId="0" fontId="39" fillId="0" borderId="22" xfId="0" applyFont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39" fillId="0" borderId="0" xfId="0" applyFont="1" applyAlignment="1">
      <alignment horizontal="center"/>
    </xf>
    <xf numFmtId="170" fontId="54" fillId="27" borderId="14" xfId="117" applyNumberFormat="1" applyFont="1" applyFill="1" applyBorder="1" applyAlignment="1">
      <alignment horizontal="right"/>
    </xf>
    <xf numFmtId="0" fontId="39" fillId="0" borderId="19" xfId="0" applyFont="1" applyBorder="1" applyAlignment="1">
      <alignment horizontal="center"/>
    </xf>
    <xf numFmtId="0" fontId="7" fillId="0" borderId="13" xfId="0" applyFont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Border="1" applyAlignment="1">
      <alignment horizontal="right"/>
    </xf>
    <xf numFmtId="170" fontId="7" fillId="0" borderId="0" xfId="0" applyNumberFormat="1" applyFont="1" applyAlignment="1">
      <alignment horizontal="right"/>
    </xf>
    <xf numFmtId="10" fontId="7" fillId="0" borderId="14" xfId="0" applyNumberFormat="1" applyFont="1" applyBorder="1"/>
    <xf numFmtId="170" fontId="7" fillId="0" borderId="14" xfId="117" applyNumberFormat="1" applyFont="1" applyBorder="1"/>
    <xf numFmtId="0" fontId="39" fillId="0" borderId="24" xfId="0" applyFont="1" applyBorder="1" applyAlignment="1">
      <alignment horizontal="center"/>
    </xf>
    <xf numFmtId="170" fontId="39" fillId="0" borderId="24" xfId="117" applyNumberFormat="1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170" fontId="39" fillId="0" borderId="24" xfId="117" applyNumberFormat="1" applyFont="1" applyBorder="1" applyAlignment="1">
      <alignment horizontal="center" wrapText="1"/>
    </xf>
    <xf numFmtId="0" fontId="39" fillId="0" borderId="26" xfId="0" applyFont="1" applyBorder="1" applyAlignment="1">
      <alignment horizontal="center"/>
    </xf>
    <xf numFmtId="170" fontId="39" fillId="0" borderId="16" xfId="117" applyNumberFormat="1" applyFont="1" applyBorder="1" applyAlignment="1">
      <alignment horizontal="center"/>
    </xf>
    <xf numFmtId="170" fontId="39" fillId="0" borderId="26" xfId="117" applyNumberFormat="1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170" fontId="7" fillId="0" borderId="24" xfId="117" applyNumberFormat="1" applyFont="1" applyBorder="1"/>
    <xf numFmtId="171" fontId="7" fillId="0" borderId="14" xfId="0" applyNumberFormat="1" applyFont="1" applyBorder="1"/>
    <xf numFmtId="171" fontId="7" fillId="0" borderId="24" xfId="0" applyNumberFormat="1" applyFont="1" applyBorder="1"/>
    <xf numFmtId="171" fontId="7" fillId="0" borderId="25" xfId="0" applyNumberFormat="1" applyFont="1" applyBorder="1"/>
    <xf numFmtId="170" fontId="7" fillId="0" borderId="25" xfId="0" applyNumberFormat="1" applyFont="1" applyBorder="1"/>
    <xf numFmtId="170" fontId="1" fillId="0" borderId="25" xfId="117" applyNumberFormat="1" applyBorder="1"/>
    <xf numFmtId="170" fontId="7" fillId="0" borderId="25" xfId="117" applyNumberFormat="1" applyFont="1" applyBorder="1"/>
    <xf numFmtId="0" fontId="7" fillId="0" borderId="26" xfId="0" applyFont="1" applyBorder="1" applyAlignment="1">
      <alignment horizontal="center"/>
    </xf>
    <xf numFmtId="170" fontId="7" fillId="0" borderId="26" xfId="0" applyNumberFormat="1" applyFont="1" applyBorder="1"/>
    <xf numFmtId="170" fontId="1" fillId="0" borderId="26" xfId="117" applyNumberFormat="1" applyBorder="1"/>
    <xf numFmtId="171" fontId="7" fillId="0" borderId="16" xfId="0" applyNumberFormat="1" applyFont="1" applyBorder="1"/>
    <xf numFmtId="171" fontId="7" fillId="0" borderId="26" xfId="0" applyNumberFormat="1" applyFont="1" applyBorder="1"/>
    <xf numFmtId="171" fontId="7" fillId="0" borderId="0" xfId="0" applyNumberFormat="1" applyFont="1"/>
    <xf numFmtId="170" fontId="55" fillId="0" borderId="0" xfId="0" applyNumberFormat="1" applyFont="1" applyAlignment="1">
      <alignment horizontal="left"/>
    </xf>
    <xf numFmtId="0" fontId="9" fillId="0" borderId="0" xfId="0" applyFont="1"/>
    <xf numFmtId="170" fontId="39" fillId="0" borderId="0" xfId="117" applyNumberFormat="1" applyFont="1" applyBorder="1"/>
    <xf numFmtId="170" fontId="7" fillId="0" borderId="14" xfId="0" applyNumberFormat="1" applyFont="1" applyBorder="1"/>
    <xf numFmtId="170" fontId="39" fillId="0" borderId="11" xfId="117" applyNumberFormat="1" applyFont="1" applyBorder="1"/>
    <xf numFmtId="170" fontId="7" fillId="0" borderId="20" xfId="0" applyNumberFormat="1" applyFont="1" applyBorder="1"/>
    <xf numFmtId="0" fontId="7" fillId="0" borderId="15" xfId="0" applyFont="1" applyBorder="1"/>
    <xf numFmtId="170" fontId="39" fillId="0" borderId="6" xfId="117" applyNumberFormat="1" applyFont="1" applyFill="1" applyBorder="1" applyAlignment="1">
      <alignment horizontal="left"/>
    </xf>
    <xf numFmtId="170" fontId="39" fillId="0" borderId="16" xfId="117" applyNumberFormat="1" applyFont="1" applyFill="1" applyBorder="1" applyAlignment="1">
      <alignment horizontal="left"/>
    </xf>
    <xf numFmtId="0" fontId="7" fillId="0" borderId="21" xfId="0" applyFont="1" applyBorder="1" applyAlignment="1">
      <alignment horizontal="center"/>
    </xf>
    <xf numFmtId="0" fontId="0" fillId="0" borderId="22" xfId="0" applyBorder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4" xfId="0" applyFont="1" applyBorder="1" applyAlignment="1">
      <alignment horizontal="center" wrapText="1"/>
    </xf>
    <xf numFmtId="170" fontId="39" fillId="0" borderId="0" xfId="117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4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/>
    <xf numFmtId="170" fontId="7" fillId="0" borderId="14" xfId="117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2" xfId="0" applyFont="1" applyBorder="1"/>
    <xf numFmtId="0" fontId="61" fillId="28" borderId="22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68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quotePrefix="1" applyFont="1" applyAlignment="1">
      <alignment horizontal="left"/>
    </xf>
    <xf numFmtId="0" fontId="67" fillId="0" borderId="0" xfId="0" applyFont="1" applyAlignment="1">
      <alignment horizontal="right"/>
    </xf>
    <xf numFmtId="0" fontId="46" fillId="0" borderId="0" xfId="0" quotePrefix="1" applyFont="1" applyAlignment="1">
      <alignment horizontal="right"/>
    </xf>
    <xf numFmtId="0" fontId="39" fillId="0" borderId="28" xfId="0" applyFont="1" applyBorder="1" applyAlignment="1">
      <alignment horizontal="center"/>
    </xf>
    <xf numFmtId="169" fontId="7" fillId="0" borderId="29" xfId="549" applyFont="1" applyBorder="1" applyAlignment="1" applyProtection="1">
      <alignment horizontal="center"/>
      <protection locked="0"/>
    </xf>
    <xf numFmtId="169" fontId="7" fillId="0" borderId="29" xfId="549" quotePrefix="1" applyFont="1" applyBorder="1" applyAlignment="1" applyProtection="1">
      <alignment horizontal="center"/>
      <protection locked="0"/>
    </xf>
    <xf numFmtId="3" fontId="7" fillId="0" borderId="30" xfId="549" applyNumberFormat="1" applyFont="1" applyBorder="1" applyAlignment="1" applyProtection="1">
      <alignment horizontal="center"/>
      <protection locked="0"/>
    </xf>
    <xf numFmtId="0" fontId="55" fillId="0" borderId="24" xfId="0" applyFont="1" applyBorder="1"/>
    <xf numFmtId="170" fontId="7" fillId="0" borderId="13" xfId="117" quotePrefix="1" applyNumberFormat="1" applyFont="1" applyBorder="1" applyAlignment="1">
      <alignment horizontal="right"/>
    </xf>
    <xf numFmtId="0" fontId="57" fillId="0" borderId="31" xfId="117" applyNumberFormat="1" applyFont="1" applyFill="1" applyBorder="1" applyAlignment="1">
      <alignment horizontal="left"/>
    </xf>
    <xf numFmtId="170" fontId="7" fillId="0" borderId="32" xfId="117" quotePrefix="1" applyNumberFormat="1" applyFont="1" applyBorder="1" applyAlignment="1">
      <alignment horizontal="right"/>
    </xf>
    <xf numFmtId="170" fontId="55" fillId="0" borderId="26" xfId="117" applyNumberFormat="1" applyFont="1" applyBorder="1"/>
    <xf numFmtId="0" fontId="7" fillId="0" borderId="15" xfId="0" quotePrefix="1" applyFont="1" applyBorder="1" applyAlignment="1">
      <alignment horizontal="right"/>
    </xf>
    <xf numFmtId="170" fontId="39" fillId="27" borderId="26" xfId="117" applyNumberFormat="1" applyFont="1" applyFill="1" applyBorder="1" applyAlignment="1">
      <alignment horizontal="center"/>
    </xf>
    <xf numFmtId="170" fontId="39" fillId="27" borderId="16" xfId="117" applyNumberFormat="1" applyFont="1" applyFill="1" applyBorder="1" applyAlignment="1">
      <alignment horizontal="center"/>
    </xf>
    <xf numFmtId="170" fontId="54" fillId="0" borderId="25" xfId="117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171" fontId="54" fillId="27" borderId="26" xfId="0" applyNumberFormat="1" applyFont="1" applyFill="1" applyBorder="1"/>
    <xf numFmtId="171" fontId="54" fillId="0" borderId="24" xfId="0" applyNumberFormat="1" applyFont="1" applyBorder="1"/>
    <xf numFmtId="170" fontId="39" fillId="0" borderId="24" xfId="117" quotePrefix="1" applyNumberFormat="1" applyFont="1" applyBorder="1" applyAlignment="1">
      <alignment horizontal="center" wrapText="1"/>
    </xf>
    <xf numFmtId="170" fontId="39" fillId="0" borderId="24" xfId="117" applyNumberFormat="1" applyFont="1" applyFill="1" applyBorder="1" applyAlignment="1">
      <alignment horizontal="center" wrapText="1"/>
    </xf>
    <xf numFmtId="170" fontId="39" fillId="0" borderId="26" xfId="117" applyNumberFormat="1" applyFont="1" applyFill="1" applyBorder="1" applyAlignment="1">
      <alignment horizontal="center"/>
    </xf>
    <xf numFmtId="170" fontId="39" fillId="0" borderId="15" xfId="117" applyNumberFormat="1" applyFont="1" applyFill="1" applyBorder="1" applyAlignment="1">
      <alignment horizontal="center"/>
    </xf>
    <xf numFmtId="170" fontId="54" fillId="0" borderId="14" xfId="117" applyNumberFormat="1" applyFont="1" applyFill="1" applyBorder="1"/>
    <xf numFmtId="170" fontId="54" fillId="0" borderId="26" xfId="117" applyNumberFormat="1" applyFont="1" applyFill="1" applyBorder="1"/>
    <xf numFmtId="170" fontId="54" fillId="0" borderId="16" xfId="117" applyNumberFormat="1" applyFont="1" applyFill="1" applyBorder="1"/>
    <xf numFmtId="170" fontId="39" fillId="27" borderId="19" xfId="117" quotePrefix="1" applyNumberFormat="1" applyFont="1" applyFill="1" applyBorder="1" applyAlignment="1">
      <alignment horizontal="center" wrapText="1"/>
    </xf>
    <xf numFmtId="170" fontId="39" fillId="0" borderId="19" xfId="117" quotePrefix="1" applyNumberFormat="1" applyFont="1" applyBorder="1" applyAlignment="1">
      <alignment horizontal="center" wrapText="1"/>
    </xf>
    <xf numFmtId="170" fontId="39" fillId="27" borderId="24" xfId="117" quotePrefix="1" applyNumberFormat="1" applyFont="1" applyFill="1" applyBorder="1" applyAlignment="1">
      <alignment horizontal="center" wrapText="1"/>
    </xf>
    <xf numFmtId="0" fontId="7" fillId="0" borderId="13" xfId="0" quotePrefix="1" applyFont="1" applyBorder="1" applyAlignment="1">
      <alignment horizontal="left"/>
    </xf>
    <xf numFmtId="170" fontId="7" fillId="0" borderId="26" xfId="117" applyNumberFormat="1" applyFont="1" applyBorder="1"/>
    <xf numFmtId="0" fontId="14" fillId="0" borderId="0" xfId="0" applyFont="1" applyAlignment="1">
      <alignment horizontal="center"/>
    </xf>
    <xf numFmtId="3" fontId="14" fillId="0" borderId="0" xfId="0" quotePrefix="1" applyNumberFormat="1" applyFont="1" applyAlignment="1">
      <alignment horizontal="center"/>
    </xf>
    <xf numFmtId="169" fontId="14" fillId="0" borderId="0" xfId="549" applyFont="1" applyProtection="1"/>
    <xf numFmtId="49" fontId="71" fillId="0" borderId="0" xfId="549" applyNumberFormat="1" applyFont="1" applyAlignment="1" applyProtection="1">
      <alignment horizontal="center"/>
    </xf>
    <xf numFmtId="3" fontId="6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vertical="center"/>
    </xf>
    <xf numFmtId="0" fontId="39" fillId="0" borderId="11" xfId="0" applyFont="1" applyBorder="1" applyAlignment="1">
      <alignment horizontal="centerContinuous"/>
    </xf>
    <xf numFmtId="0" fontId="39" fillId="0" borderId="11" xfId="0" applyFont="1" applyBorder="1" applyAlignment="1">
      <alignment horizontal="left"/>
    </xf>
    <xf numFmtId="0" fontId="53" fillId="0" borderId="0" xfId="0" quotePrefix="1" applyFont="1" applyAlignment="1">
      <alignment horizontal="left"/>
    </xf>
    <xf numFmtId="0" fontId="65" fillId="0" borderId="11" xfId="0" quotePrefix="1" applyFont="1" applyBorder="1" applyAlignment="1">
      <alignment horizontal="centerContinuous"/>
    </xf>
    <xf numFmtId="0" fontId="65" fillId="0" borderId="0" xfId="0" quotePrefix="1" applyFont="1" applyAlignment="1">
      <alignment horizontal="centerContinuous"/>
    </xf>
    <xf numFmtId="0" fontId="65" fillId="0" borderId="11" xfId="0" applyFont="1" applyBorder="1" applyAlignment="1">
      <alignment horizontal="centerContinuous"/>
    </xf>
    <xf numFmtId="0" fontId="65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0" fontId="65" fillId="0" borderId="0" xfId="0" quotePrefix="1" applyFont="1" applyAlignment="1">
      <alignment horizontal="center" wrapText="1"/>
    </xf>
    <xf numFmtId="0" fontId="0" fillId="0" borderId="38" xfId="0" applyBorder="1" applyAlignment="1">
      <alignment wrapText="1"/>
    </xf>
    <xf numFmtId="0" fontId="0" fillId="0" borderId="25" xfId="0" applyBorder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170" fontId="1" fillId="0" borderId="0" xfId="117" applyNumberFormat="1" applyFont="1" applyFill="1" applyAlignment="1" applyProtection="1">
      <alignment vertical="center"/>
    </xf>
    <xf numFmtId="170" fontId="1" fillId="0" borderId="0" xfId="117" applyNumberFormat="1" applyFill="1" applyAlignment="1" applyProtection="1">
      <alignment vertical="center"/>
    </xf>
    <xf numFmtId="170" fontId="7" fillId="0" borderId="0" xfId="121" applyNumberFormat="1" applyFont="1" applyFill="1" applyAlignment="1" applyProtection="1">
      <alignment vertical="center"/>
    </xf>
    <xf numFmtId="170" fontId="64" fillId="27" borderId="0" xfId="117" applyNumberFormat="1" applyFont="1" applyFill="1" applyAlignment="1" applyProtection="1">
      <alignment vertical="center"/>
    </xf>
    <xf numFmtId="170" fontId="1" fillId="0" borderId="0" xfId="117" applyNumberFormat="1" applyAlignment="1" applyProtection="1">
      <alignment vertical="center"/>
    </xf>
    <xf numFmtId="170" fontId="39" fillId="0" borderId="0" xfId="117" applyNumberFormat="1" applyFont="1" applyAlignment="1" applyProtection="1">
      <alignment horizontal="center" vertical="center"/>
    </xf>
    <xf numFmtId="170" fontId="0" fillId="0" borderId="25" xfId="0" applyNumberFormat="1" applyBorder="1" applyAlignment="1">
      <alignment vertical="center"/>
    </xf>
    <xf numFmtId="170" fontId="39" fillId="0" borderId="0" xfId="117" applyNumberFormat="1" applyFont="1" applyAlignment="1" applyProtection="1">
      <alignment vertical="center"/>
    </xf>
    <xf numFmtId="0" fontId="0" fillId="0" borderId="0" xfId="0" applyAlignment="1">
      <alignment vertical="center" wrapText="1"/>
    </xf>
    <xf numFmtId="170" fontId="1" fillId="0" borderId="0" xfId="117" applyNumberFormat="1" applyFont="1" applyAlignment="1" applyProtection="1">
      <alignment horizontal="center" vertical="center"/>
    </xf>
    <xf numFmtId="0" fontId="7" fillId="0" borderId="0" xfId="0" quotePrefix="1" applyFont="1" applyAlignment="1">
      <alignment horizontal="center" vertical="center"/>
    </xf>
    <xf numFmtId="170" fontId="1" fillId="0" borderId="0" xfId="117" applyNumberFormat="1" applyFill="1" applyBorder="1" applyAlignment="1" applyProtection="1">
      <alignment vertical="center"/>
    </xf>
    <xf numFmtId="170" fontId="64" fillId="27" borderId="0" xfId="117" applyNumberFormat="1" applyFont="1" applyFill="1" applyBorder="1" applyAlignment="1" applyProtection="1">
      <alignment vertical="center"/>
    </xf>
    <xf numFmtId="170" fontId="1" fillId="0" borderId="0" xfId="117" applyNumberFormat="1" applyFont="1" applyFill="1" applyBorder="1" applyAlignment="1" applyProtection="1">
      <alignment vertical="center"/>
    </xf>
    <xf numFmtId="170" fontId="1" fillId="0" borderId="0" xfId="117" applyNumberFormat="1" applyBorder="1" applyAlignment="1" applyProtection="1">
      <alignment vertical="center"/>
    </xf>
    <xf numFmtId="170" fontId="39" fillId="0" borderId="0" xfId="117" applyNumberFormat="1" applyFont="1" applyBorder="1" applyAlignment="1" applyProtection="1">
      <alignment vertical="center"/>
    </xf>
    <xf numFmtId="170" fontId="1" fillId="0" borderId="0" xfId="117" applyNumberFormat="1" applyFont="1" applyBorder="1" applyAlignment="1" applyProtection="1">
      <alignment vertical="center"/>
    </xf>
    <xf numFmtId="0" fontId="39" fillId="0" borderId="0" xfId="0" applyFont="1" applyAlignment="1">
      <alignment horizontal="center" vertical="center"/>
    </xf>
    <xf numFmtId="0" fontId="64" fillId="0" borderId="0" xfId="0" quotePrefix="1" applyFont="1" applyAlignment="1">
      <alignment horizontal="left"/>
    </xf>
    <xf numFmtId="0" fontId="7" fillId="0" borderId="0" xfId="0" applyFont="1" applyAlignment="1">
      <alignment vertical="center"/>
    </xf>
    <xf numFmtId="43" fontId="73" fillId="0" borderId="0" xfId="117" applyFont="1" applyAlignment="1" applyProtection="1">
      <alignment horizontal="center" vertical="center"/>
    </xf>
    <xf numFmtId="43" fontId="53" fillId="0" borderId="0" xfId="117" applyFont="1" applyAlignment="1" applyProtection="1">
      <alignment horizontal="center" vertical="center"/>
    </xf>
    <xf numFmtId="43" fontId="75" fillId="0" borderId="0" xfId="117" applyFont="1" applyAlignment="1" applyProtection="1">
      <alignment horizontal="left" vertical="center"/>
    </xf>
    <xf numFmtId="170" fontId="75" fillId="0" borderId="0" xfId="117" applyNumberFormat="1" applyFont="1" applyAlignment="1" applyProtection="1">
      <alignment horizontal="center" vertical="center"/>
    </xf>
    <xf numFmtId="43" fontId="76" fillId="0" borderId="0" xfId="117" applyFont="1" applyAlignment="1" applyProtection="1">
      <alignment vertical="center"/>
    </xf>
    <xf numFmtId="43" fontId="1" fillId="0" borderId="0" xfId="117" applyAlignment="1" applyProtection="1">
      <alignment vertical="center"/>
    </xf>
    <xf numFmtId="170" fontId="0" fillId="0" borderId="26" xfId="0" applyNumberFormat="1" applyBorder="1"/>
    <xf numFmtId="0" fontId="0" fillId="0" borderId="0" xfId="0" quotePrefix="1" applyAlignment="1">
      <alignment horizontal="left" vertical="center"/>
    </xf>
    <xf numFmtId="13" fontId="5" fillId="0" borderId="0" xfId="0" applyNumberFormat="1" applyFont="1" applyAlignment="1">
      <alignment horizontal="center" vertical="center"/>
    </xf>
    <xf numFmtId="170" fontId="0" fillId="0" borderId="0" xfId="117" applyNumberFormat="1" applyFont="1" applyProtection="1"/>
    <xf numFmtId="170" fontId="64" fillId="27" borderId="0" xfId="0" applyNumberFormat="1" applyFont="1" applyFill="1" applyAlignment="1">
      <alignment vertical="center"/>
    </xf>
    <xf numFmtId="170" fontId="1" fillId="0" borderId="0" xfId="117" applyNumberFormat="1" applyProtection="1"/>
    <xf numFmtId="164" fontId="1" fillId="0" borderId="0" xfId="0" applyNumberFormat="1" applyFont="1"/>
    <xf numFmtId="43" fontId="1" fillId="0" borderId="0" xfId="117" applyProtection="1"/>
    <xf numFmtId="0" fontId="0" fillId="0" borderId="33" xfId="0" applyBorder="1"/>
    <xf numFmtId="0" fontId="0" fillId="0" borderId="2" xfId="0" applyBorder="1"/>
    <xf numFmtId="170" fontId="1" fillId="0" borderId="2" xfId="117" applyNumberFormat="1" applyBorder="1" applyProtection="1"/>
    <xf numFmtId="0" fontId="0" fillId="0" borderId="27" xfId="0" applyBorder="1"/>
    <xf numFmtId="0" fontId="0" fillId="0" borderId="34" xfId="0" applyBorder="1"/>
    <xf numFmtId="0" fontId="0" fillId="0" borderId="35" xfId="0" applyBorder="1" applyAlignment="1">
      <alignment horizontal="center"/>
    </xf>
    <xf numFmtId="0" fontId="0" fillId="0" borderId="36" xfId="0" applyBorder="1"/>
    <xf numFmtId="0" fontId="0" fillId="0" borderId="11" xfId="0" applyBorder="1"/>
    <xf numFmtId="170" fontId="1" fillId="0" borderId="11" xfId="117" applyNumberFormat="1" applyBorder="1" applyProtection="1"/>
    <xf numFmtId="0" fontId="0" fillId="0" borderId="37" xfId="0" applyBorder="1"/>
    <xf numFmtId="0" fontId="0" fillId="0" borderId="0" xfId="0" quotePrefix="1" applyAlignment="1">
      <alignment horizontal="left"/>
    </xf>
    <xf numFmtId="171" fontId="0" fillId="0" borderId="0" xfId="327" applyNumberFormat="1" applyFont="1" applyProtection="1"/>
    <xf numFmtId="0" fontId="0" fillId="0" borderId="0" xfId="0" quotePrefix="1" applyAlignment="1">
      <alignment horizontal="center"/>
    </xf>
    <xf numFmtId="170" fontId="0" fillId="0" borderId="0" xfId="0" applyNumberFormat="1"/>
    <xf numFmtId="170" fontId="0" fillId="0" borderId="0" xfId="121" applyNumberFormat="1" applyFont="1" applyProtection="1"/>
    <xf numFmtId="170" fontId="0" fillId="0" borderId="0" xfId="561" applyNumberFormat="1" applyFont="1" applyProtection="1"/>
    <xf numFmtId="170" fontId="7" fillId="0" borderId="0" xfId="117" applyNumberFormat="1" applyFont="1" applyProtection="1"/>
    <xf numFmtId="0" fontId="47" fillId="0" borderId="0" xfId="0" applyFont="1" applyAlignment="1">
      <alignment vertical="top"/>
    </xf>
    <xf numFmtId="41" fontId="0" fillId="0" borderId="0" xfId="0" applyNumberFormat="1"/>
    <xf numFmtId="3" fontId="0" fillId="0" borderId="0" xfId="0" applyNumberFormat="1"/>
    <xf numFmtId="0" fontId="7" fillId="0" borderId="0" xfId="549" applyNumberFormat="1" applyFont="1" applyProtection="1"/>
    <xf numFmtId="3" fontId="7" fillId="0" borderId="0" xfId="549" applyNumberFormat="1" applyFont="1" applyProtection="1"/>
    <xf numFmtId="10" fontId="7" fillId="0" borderId="0" xfId="549" applyNumberFormat="1" applyFont="1" applyProtection="1"/>
    <xf numFmtId="166" fontId="7" fillId="0" borderId="0" xfId="549" applyNumberFormat="1" applyFont="1" applyProtection="1"/>
    <xf numFmtId="43" fontId="7" fillId="0" borderId="0" xfId="117" applyFont="1" applyAlignment="1" applyProtection="1"/>
    <xf numFmtId="169" fontId="7" fillId="0" borderId="0" xfId="549" applyFont="1" applyProtection="1"/>
    <xf numFmtId="0" fontId="7" fillId="28" borderId="0" xfId="117" applyNumberFormat="1" applyFont="1" applyFill="1" applyAlignment="1" applyProtection="1"/>
    <xf numFmtId="10" fontId="7" fillId="0" borderId="0" xfId="549" applyNumberFormat="1" applyFont="1" applyAlignment="1" applyProtection="1">
      <alignment horizontal="right"/>
    </xf>
    <xf numFmtId="3" fontId="39" fillId="0" borderId="0" xfId="549" applyNumberFormat="1" applyFont="1" applyProtection="1"/>
    <xf numFmtId="3" fontId="48" fillId="0" borderId="0" xfId="549" applyNumberFormat="1" applyFont="1" applyAlignment="1" applyProtection="1">
      <alignment horizontal="center"/>
    </xf>
    <xf numFmtId="10" fontId="48" fillId="0" borderId="0" xfId="549" applyNumberFormat="1" applyFont="1" applyAlignment="1" applyProtection="1">
      <alignment horizontal="center"/>
    </xf>
    <xf numFmtId="0" fontId="7" fillId="0" borderId="0" xfId="549" applyNumberFormat="1" applyFont="1" applyAlignment="1" applyProtection="1">
      <alignment horizontal="right"/>
    </xf>
    <xf numFmtId="10" fontId="0" fillId="0" borderId="0" xfId="0" applyNumberFormat="1" applyAlignment="1">
      <alignment horizontal="center"/>
    </xf>
    <xf numFmtId="166" fontId="7" fillId="0" borderId="0" xfId="549" applyNumberFormat="1" applyFont="1" applyAlignment="1" applyProtection="1">
      <alignment horizontal="center"/>
    </xf>
    <xf numFmtId="167" fontId="7" fillId="0" borderId="0" xfId="549" applyNumberFormat="1" applyFont="1" applyProtection="1"/>
    <xf numFmtId="165" fontId="7" fillId="0" borderId="0" xfId="549" applyNumberFormat="1" applyFont="1" applyAlignment="1" applyProtection="1">
      <alignment horizontal="center"/>
    </xf>
    <xf numFmtId="169" fontId="7" fillId="0" borderId="13" xfId="549" applyFont="1" applyBorder="1" applyProtection="1"/>
    <xf numFmtId="0" fontId="7" fillId="0" borderId="0" xfId="549" applyNumberFormat="1" applyFont="1" applyAlignment="1" applyProtection="1">
      <alignment horizontal="center"/>
    </xf>
    <xf numFmtId="3" fontId="7" fillId="0" borderId="14" xfId="549" applyNumberFormat="1" applyFont="1" applyBorder="1" applyProtection="1"/>
    <xf numFmtId="41" fontId="7" fillId="0" borderId="0" xfId="549" applyNumberFormat="1" applyFont="1" applyProtection="1"/>
    <xf numFmtId="41" fontId="7" fillId="0" borderId="0" xfId="549" applyNumberFormat="1" applyFont="1" applyAlignment="1" applyProtection="1">
      <alignment horizontal="center"/>
    </xf>
    <xf numFmtId="0" fontId="0" fillId="0" borderId="13" xfId="0" applyBorder="1"/>
    <xf numFmtId="0" fontId="0" fillId="0" borderId="14" xfId="0" applyBorder="1"/>
    <xf numFmtId="167" fontId="48" fillId="0" borderId="0" xfId="549" applyNumberFormat="1" applyFont="1" applyProtection="1"/>
    <xf numFmtId="165" fontId="15" fillId="0" borderId="15" xfId="549" applyNumberFormat="1" applyFont="1" applyBorder="1" applyAlignment="1" applyProtection="1">
      <alignment horizontal="center"/>
    </xf>
    <xf numFmtId="0" fontId="7" fillId="28" borderId="6" xfId="549" applyNumberFormat="1" applyFont="1" applyFill="1" applyBorder="1" applyAlignment="1" applyProtection="1">
      <alignment horizontal="center"/>
    </xf>
    <xf numFmtId="171" fontId="0" fillId="0" borderId="16" xfId="0" applyNumberFormat="1" applyBorder="1"/>
    <xf numFmtId="3" fontId="7" fillId="0" borderId="0" xfId="549" applyNumberFormat="1" applyFont="1" applyAlignment="1" applyProtection="1">
      <alignment horizontal="right"/>
    </xf>
    <xf numFmtId="0" fontId="63" fillId="0" borderId="0" xfId="0" applyFont="1" applyAlignment="1">
      <alignment horizontal="center"/>
    </xf>
    <xf numFmtId="10" fontId="7" fillId="0" borderId="0" xfId="549" applyNumberFormat="1" applyFont="1" applyAlignment="1" applyProtection="1">
      <alignment horizontal="left"/>
    </xf>
    <xf numFmtId="41" fontId="7" fillId="0" borderId="0" xfId="549" quotePrefix="1" applyNumberFormat="1" applyFont="1" applyProtection="1"/>
    <xf numFmtId="41" fontId="7" fillId="0" borderId="0" xfId="549" applyNumberFormat="1" applyFont="1" applyAlignment="1" applyProtection="1">
      <alignment horizontal="right"/>
    </xf>
    <xf numFmtId="172" fontId="7" fillId="0" borderId="11" xfId="549" applyNumberFormat="1" applyFont="1" applyBorder="1" applyProtection="1"/>
    <xf numFmtId="164" fontId="7" fillId="0" borderId="0" xfId="549" applyNumberFormat="1" applyFont="1" applyAlignment="1" applyProtection="1">
      <alignment horizontal="left"/>
    </xf>
    <xf numFmtId="3" fontId="7" fillId="0" borderId="0" xfId="549" applyNumberFormat="1" applyFont="1" applyAlignment="1" applyProtection="1">
      <alignment vertical="center" wrapText="1"/>
    </xf>
    <xf numFmtId="41" fontId="7" fillId="0" borderId="0" xfId="549" applyNumberFormat="1" applyFont="1" applyAlignment="1" applyProtection="1">
      <alignment vertical="center"/>
    </xf>
    <xf numFmtId="41" fontId="7" fillId="0" borderId="0" xfId="549" applyNumberFormat="1" applyFont="1" applyAlignment="1" applyProtection="1">
      <alignment horizontal="center" vertical="center"/>
    </xf>
    <xf numFmtId="41" fontId="7" fillId="0" borderId="0" xfId="0" applyNumberFormat="1" applyFont="1"/>
    <xf numFmtId="3" fontId="14" fillId="0" borderId="0" xfId="549" applyNumberFormat="1" applyFont="1" applyProtection="1"/>
    <xf numFmtId="3" fontId="14" fillId="0" borderId="0" xfId="549" applyNumberFormat="1" applyFont="1" applyAlignment="1" applyProtection="1">
      <alignment horizontal="center"/>
    </xf>
    <xf numFmtId="41" fontId="14" fillId="0" borderId="0" xfId="549" applyNumberFormat="1" applyFont="1" applyProtection="1"/>
    <xf numFmtId="0" fontId="14" fillId="0" borderId="0" xfId="549" applyNumberFormat="1" applyFont="1" applyProtection="1"/>
    <xf numFmtId="3" fontId="7" fillId="0" borderId="0" xfId="549" applyNumberFormat="1" applyFont="1" applyAlignment="1" applyProtection="1">
      <alignment horizontal="center"/>
    </xf>
    <xf numFmtId="41" fontId="7" fillId="0" borderId="11" xfId="549" applyNumberFormat="1" applyFont="1" applyBorder="1" applyProtection="1"/>
    <xf numFmtId="3" fontId="7" fillId="0" borderId="0" xfId="549" quotePrefix="1" applyNumberFormat="1" applyFont="1" applyProtection="1"/>
    <xf numFmtId="3" fontId="39" fillId="0" borderId="0" xfId="549" applyNumberFormat="1" applyFont="1" applyAlignment="1" applyProtection="1">
      <alignment horizontal="right"/>
    </xf>
    <xf numFmtId="167" fontId="39" fillId="0" borderId="0" xfId="549" applyNumberFormat="1" applyFont="1" applyProtection="1"/>
    <xf numFmtId="3" fontId="39" fillId="0" borderId="0" xfId="549" quotePrefix="1" applyNumberFormat="1" applyFont="1" applyProtection="1"/>
    <xf numFmtId="170" fontId="7" fillId="0" borderId="0" xfId="117" applyNumberFormat="1" applyFont="1" applyFill="1" applyBorder="1" applyProtection="1"/>
    <xf numFmtId="41" fontId="48" fillId="0" borderId="0" xfId="549" applyNumberFormat="1" applyFont="1" applyProtection="1"/>
    <xf numFmtId="41" fontId="7" fillId="0" borderId="11" xfId="0" applyNumberFormat="1" applyFont="1" applyBorder="1"/>
    <xf numFmtId="41" fontId="48" fillId="0" borderId="0" xfId="0" applyNumberFormat="1" applyFont="1"/>
    <xf numFmtId="170" fontId="7" fillId="0" borderId="0" xfId="117" applyNumberFormat="1" applyFont="1" applyFill="1" applyProtection="1"/>
    <xf numFmtId="10" fontId="7" fillId="0" borderId="11" xfId="0" applyNumberFormat="1" applyFont="1" applyBorder="1"/>
    <xf numFmtId="9" fontId="7" fillId="0" borderId="11" xfId="559" applyFont="1" applyFill="1" applyBorder="1" applyProtection="1"/>
    <xf numFmtId="170" fontId="7" fillId="0" borderId="11" xfId="117" applyNumberFormat="1" applyFont="1" applyFill="1" applyBorder="1" applyAlignment="1" applyProtection="1"/>
    <xf numFmtId="10" fontId="48" fillId="0" borderId="0" xfId="0" applyNumberFormat="1" applyFont="1"/>
    <xf numFmtId="170" fontId="7" fillId="0" borderId="11" xfId="117" applyNumberFormat="1" applyFont="1" applyFill="1" applyBorder="1" applyProtection="1"/>
    <xf numFmtId="174" fontId="7" fillId="0" borderId="0" xfId="0" applyNumberFormat="1" applyFont="1"/>
    <xf numFmtId="43" fontId="7" fillId="0" borderId="0" xfId="117" applyFont="1" applyProtection="1"/>
    <xf numFmtId="170" fontId="7" fillId="0" borderId="0" xfId="117" applyNumberFormat="1" applyFont="1" applyBorder="1" applyProtection="1"/>
    <xf numFmtId="0" fontId="65" fillId="0" borderId="0" xfId="0" quotePrefix="1" applyFont="1" applyAlignment="1">
      <alignment horizontal="left"/>
    </xf>
    <xf numFmtId="0" fontId="66" fillId="0" borderId="0" xfId="0" quotePrefix="1" applyFont="1" applyAlignment="1">
      <alignment horizontal="left"/>
    </xf>
    <xf numFmtId="0" fontId="7" fillId="0" borderId="17" xfId="0" quotePrefix="1" applyFont="1" applyBorder="1" applyAlignment="1">
      <alignment horizontal="left"/>
    </xf>
    <xf numFmtId="0" fontId="0" fillId="0" borderId="46" xfId="0" quotePrefix="1" applyBorder="1" applyAlignment="1">
      <alignment horizontal="left"/>
    </xf>
    <xf numFmtId="0" fontId="121" fillId="0" borderId="41" xfId="0" quotePrefix="1" applyFont="1" applyBorder="1" applyAlignment="1">
      <alignment horizontal="right"/>
    </xf>
    <xf numFmtId="0" fontId="103" fillId="0" borderId="14" xfId="0" applyFont="1" applyBorder="1"/>
    <xf numFmtId="170" fontId="121" fillId="0" borderId="41" xfId="308" applyNumberFormat="1" applyFont="1" applyFill="1" applyBorder="1" applyProtection="1"/>
    <xf numFmtId="179" fontId="121" fillId="0" borderId="41" xfId="620" applyNumberFormat="1" applyFont="1" applyFill="1" applyBorder="1" applyProtection="1"/>
    <xf numFmtId="0" fontId="103" fillId="0" borderId="39" xfId="0" applyFont="1" applyBorder="1"/>
    <xf numFmtId="0" fontId="103" fillId="0" borderId="40" xfId="0" applyFont="1" applyBorder="1"/>
    <xf numFmtId="41" fontId="54" fillId="0" borderId="13" xfId="0" applyNumberFormat="1" applyFont="1" applyBorder="1"/>
    <xf numFmtId="3" fontId="7" fillId="0" borderId="43" xfId="484" applyNumberFormat="1" applyBorder="1"/>
    <xf numFmtId="10" fontId="54" fillId="0" borderId="13" xfId="0" applyNumberFormat="1" applyFont="1" applyBorder="1"/>
    <xf numFmtId="0" fontId="7" fillId="0" borderId="14" xfId="484" applyBorder="1"/>
    <xf numFmtId="10" fontId="121" fillId="0" borderId="41" xfId="561" applyNumberFormat="1" applyFont="1" applyFill="1" applyBorder="1" applyProtection="1"/>
    <xf numFmtId="0" fontId="54" fillId="0" borderId="20" xfId="0" applyFont="1" applyBorder="1"/>
    <xf numFmtId="170" fontId="121" fillId="0" borderId="42" xfId="0" applyNumberFormat="1" applyFont="1" applyBorder="1"/>
    <xf numFmtId="0" fontId="54" fillId="0" borderId="44" xfId="0" applyFont="1" applyBorder="1"/>
    <xf numFmtId="0" fontId="54" fillId="0" borderId="16" xfId="0" applyFont="1" applyBorder="1"/>
    <xf numFmtId="170" fontId="54" fillId="0" borderId="24" xfId="0" applyNumberFormat="1" applyFont="1" applyBorder="1"/>
    <xf numFmtId="170" fontId="54" fillId="0" borderId="25" xfId="0" applyNumberFormat="1" applyFont="1" applyBorder="1"/>
    <xf numFmtId="171" fontId="54" fillId="0" borderId="26" xfId="0" applyNumberFormat="1" applyFont="1" applyBorder="1"/>
    <xf numFmtId="0" fontId="50" fillId="0" borderId="0" xfId="0" applyFont="1"/>
    <xf numFmtId="0" fontId="7" fillId="26" borderId="0" xfId="117" applyNumberFormat="1" applyFont="1" applyFill="1" applyAlignment="1" applyProtection="1"/>
    <xf numFmtId="0" fontId="7" fillId="0" borderId="0" xfId="117" applyNumberFormat="1" applyFont="1" applyFill="1" applyAlignment="1" applyProtection="1"/>
    <xf numFmtId="169" fontId="15" fillId="0" borderId="17" xfId="549" applyFont="1" applyBorder="1" applyProtection="1"/>
    <xf numFmtId="169" fontId="7" fillId="0" borderId="18" xfId="549" applyFont="1" applyBorder="1" applyProtection="1"/>
    <xf numFmtId="3" fontId="7" fillId="0" borderId="19" xfId="549" applyNumberFormat="1" applyFont="1" applyBorder="1" applyProtection="1"/>
    <xf numFmtId="0" fontId="7" fillId="28" borderId="0" xfId="549" applyNumberFormat="1" applyFont="1" applyFill="1" applyAlignment="1" applyProtection="1">
      <alignment horizontal="center"/>
    </xf>
    <xf numFmtId="0" fontId="7" fillId="0" borderId="0" xfId="0" quotePrefix="1" applyFont="1" applyAlignment="1">
      <alignment horizontal="right"/>
    </xf>
    <xf numFmtId="171" fontId="0" fillId="0" borderId="0" xfId="0" applyNumberFormat="1"/>
    <xf numFmtId="171" fontId="0" fillId="0" borderId="14" xfId="0" applyNumberFormat="1" applyBorder="1"/>
    <xf numFmtId="0" fontId="0" fillId="0" borderId="0" xfId="0" quotePrefix="1" applyAlignment="1">
      <alignment horizontal="right"/>
    </xf>
    <xf numFmtId="171" fontId="0" fillId="0" borderId="6" xfId="0" applyNumberFormat="1" applyBorder="1"/>
    <xf numFmtId="0" fontId="0" fillId="0" borderId="0" xfId="0" applyAlignment="1">
      <alignment horizontal="right"/>
    </xf>
    <xf numFmtId="170" fontId="0" fillId="0" borderId="19" xfId="0" applyNumberFormat="1" applyBorder="1"/>
    <xf numFmtId="173" fontId="7" fillId="0" borderId="0" xfId="549" applyNumberFormat="1" applyFont="1" applyProtection="1"/>
    <xf numFmtId="165" fontId="7" fillId="0" borderId="15" xfId="549" applyNumberFormat="1" applyFont="1" applyBorder="1" applyAlignment="1" applyProtection="1">
      <alignment horizontal="center"/>
    </xf>
    <xf numFmtId="0" fontId="7" fillId="0" borderId="6" xfId="549" applyNumberFormat="1" applyFont="1" applyBorder="1" applyAlignment="1" applyProtection="1">
      <alignment horizontal="center"/>
    </xf>
    <xf numFmtId="170" fontId="7" fillId="0" borderId="6" xfId="549" quotePrefix="1" applyNumberFormat="1" applyFont="1" applyBorder="1" applyAlignment="1" applyProtection="1">
      <alignment horizontal="center"/>
    </xf>
    <xf numFmtId="41" fontId="48" fillId="0" borderId="11" xfId="549" applyNumberFormat="1" applyFont="1" applyBorder="1" applyProtection="1"/>
    <xf numFmtId="9" fontId="7" fillId="0" borderId="0" xfId="559" applyFont="1" applyFill="1" applyBorder="1" applyProtection="1"/>
    <xf numFmtId="170" fontId="7" fillId="0" borderId="0" xfId="117" applyNumberFormat="1" applyFont="1" applyFill="1" applyBorder="1" applyAlignment="1" applyProtection="1"/>
    <xf numFmtId="41" fontId="56" fillId="0" borderId="0" xfId="0" applyNumberFormat="1" applyFont="1"/>
    <xf numFmtId="10" fontId="0" fillId="0" borderId="0" xfId="0" applyNumberFormat="1"/>
    <xf numFmtId="164" fontId="1" fillId="0" borderId="0" xfId="559" applyNumberFormat="1" applyProtection="1"/>
    <xf numFmtId="0" fontId="7" fillId="0" borderId="47" xfId="0" quotePrefix="1" applyFont="1" applyBorder="1" applyAlignment="1">
      <alignment horizontal="left"/>
    </xf>
    <xf numFmtId="0" fontId="0" fillId="0" borderId="19" xfId="0" applyBorder="1"/>
    <xf numFmtId="0" fontId="54" fillId="0" borderId="41" xfId="0" quotePrefix="1" applyFont="1" applyBorder="1" applyAlignment="1">
      <alignment horizontal="right"/>
    </xf>
    <xf numFmtId="10" fontId="54" fillId="0" borderId="41" xfId="0" applyNumberFormat="1" applyFont="1" applyBorder="1"/>
    <xf numFmtId="170" fontId="54" fillId="0" borderId="41" xfId="317" applyNumberFormat="1" applyFont="1" applyBorder="1" applyProtection="1"/>
    <xf numFmtId="166" fontId="54" fillId="0" borderId="41" xfId="0" applyNumberFormat="1" applyFont="1" applyBorder="1"/>
    <xf numFmtId="3" fontId="54" fillId="0" borderId="43" xfId="0" applyNumberFormat="1" applyFont="1" applyBorder="1"/>
    <xf numFmtId="0" fontId="54" fillId="0" borderId="14" xfId="0" applyFont="1" applyBorder="1"/>
    <xf numFmtId="0" fontId="7" fillId="0" borderId="14" xfId="0" applyFont="1" applyBorder="1"/>
    <xf numFmtId="170" fontId="54" fillId="0" borderId="42" xfId="0" applyNumberFormat="1" applyFont="1" applyBorder="1"/>
    <xf numFmtId="170" fontId="54" fillId="0" borderId="45" xfId="0" applyNumberFormat="1" applyFont="1" applyBorder="1"/>
    <xf numFmtId="0" fontId="68" fillId="0" borderId="0" xfId="0" quotePrefix="1" applyFont="1" applyAlignment="1">
      <alignment horizontal="left"/>
    </xf>
    <xf numFmtId="0" fontId="51" fillId="27" borderId="0" xfId="117" applyNumberFormat="1" applyFont="1" applyFill="1" applyAlignment="1" applyProtection="1">
      <alignment horizontal="left"/>
    </xf>
    <xf numFmtId="170" fontId="39" fillId="0" borderId="19" xfId="117" applyNumberFormat="1" applyFont="1" applyBorder="1" applyProtection="1"/>
    <xf numFmtId="0" fontId="14" fillId="0" borderId="0" xfId="117" applyNumberFormat="1" applyFont="1" applyFill="1" applyAlignment="1" applyProtection="1">
      <alignment horizontal="left"/>
    </xf>
    <xf numFmtId="0" fontId="14" fillId="0" borderId="0" xfId="117" applyNumberFormat="1" applyFont="1" applyFill="1" applyBorder="1" applyAlignment="1" applyProtection="1">
      <alignment horizontal="left"/>
    </xf>
    <xf numFmtId="0" fontId="9" fillId="0" borderId="0" xfId="117" applyNumberFormat="1" applyFont="1" applyFill="1" applyBorder="1" applyAlignment="1" applyProtection="1">
      <alignment horizontal="left"/>
    </xf>
    <xf numFmtId="170" fontId="39" fillId="0" borderId="20" xfId="117" applyNumberFormat="1" applyFont="1" applyBorder="1" applyProtection="1"/>
    <xf numFmtId="0" fontId="52" fillId="0" borderId="0" xfId="0" quotePrefix="1" applyFont="1" applyAlignment="1">
      <alignment horizontal="left"/>
    </xf>
    <xf numFmtId="170" fontId="39" fillId="0" borderId="15" xfId="117" applyNumberFormat="1" applyFont="1" applyBorder="1" applyProtection="1"/>
    <xf numFmtId="170" fontId="7" fillId="0" borderId="6" xfId="117" applyNumberFormat="1" applyFont="1" applyBorder="1" applyProtection="1"/>
    <xf numFmtId="170" fontId="7" fillId="0" borderId="16" xfId="117" applyNumberFormat="1" applyFont="1" applyBorder="1" applyProtection="1"/>
    <xf numFmtId="170" fontId="54" fillId="27" borderId="14" xfId="117" applyNumberFormat="1" applyFont="1" applyFill="1" applyBorder="1" applyAlignment="1" applyProtection="1">
      <alignment horizontal="right"/>
    </xf>
    <xf numFmtId="170" fontId="7" fillId="0" borderId="14" xfId="117" applyNumberFormat="1" applyFont="1" applyBorder="1" applyProtection="1"/>
    <xf numFmtId="170" fontId="39" fillId="0" borderId="24" xfId="117" applyNumberFormat="1" applyFont="1" applyBorder="1" applyAlignment="1" applyProtection="1">
      <alignment horizontal="center"/>
    </xf>
    <xf numFmtId="170" fontId="39" fillId="27" borderId="19" xfId="117" quotePrefix="1" applyNumberFormat="1" applyFont="1" applyFill="1" applyBorder="1" applyAlignment="1" applyProtection="1">
      <alignment horizontal="center" wrapText="1"/>
    </xf>
    <xf numFmtId="170" fontId="39" fillId="0" borderId="19" xfId="117" quotePrefix="1" applyNumberFormat="1" applyFont="1" applyBorder="1" applyAlignment="1" applyProtection="1">
      <alignment horizontal="center" wrapText="1"/>
    </xf>
    <xf numFmtId="170" fontId="39" fillId="0" borderId="24" xfId="117" quotePrefix="1" applyNumberFormat="1" applyFont="1" applyBorder="1" applyAlignment="1" applyProtection="1">
      <alignment horizontal="center" wrapText="1"/>
    </xf>
    <xf numFmtId="170" fontId="39" fillId="0" borderId="24" xfId="117" applyNumberFormat="1" applyFont="1" applyFill="1" applyBorder="1" applyAlignment="1" applyProtection="1">
      <alignment horizontal="center" wrapText="1"/>
    </xf>
    <xf numFmtId="170" fontId="39" fillId="0" borderId="24" xfId="117" applyNumberFormat="1" applyFont="1" applyBorder="1" applyAlignment="1" applyProtection="1">
      <alignment horizontal="center" wrapText="1"/>
    </xf>
    <xf numFmtId="170" fontId="39" fillId="27" borderId="16" xfId="117" applyNumberFormat="1" applyFont="1" applyFill="1" applyBorder="1" applyAlignment="1" applyProtection="1">
      <alignment horizontal="center"/>
    </xf>
    <xf numFmtId="170" fontId="39" fillId="0" borderId="16" xfId="117" applyNumberFormat="1" applyFont="1" applyBorder="1" applyAlignment="1" applyProtection="1">
      <alignment horizontal="center"/>
    </xf>
    <xf numFmtId="170" fontId="39" fillId="0" borderId="26" xfId="117" applyNumberFormat="1" applyFont="1" applyBorder="1" applyAlignment="1" applyProtection="1">
      <alignment horizontal="center"/>
    </xf>
    <xf numFmtId="170" fontId="39" fillId="0" borderId="26" xfId="117" applyNumberFormat="1" applyFont="1" applyFill="1" applyBorder="1" applyAlignment="1" applyProtection="1">
      <alignment horizontal="center"/>
    </xf>
    <xf numFmtId="170" fontId="39" fillId="0" borderId="15" xfId="117" applyNumberFormat="1" applyFont="1" applyFill="1" applyBorder="1" applyAlignment="1" applyProtection="1">
      <alignment horizontal="center"/>
    </xf>
    <xf numFmtId="170" fontId="54" fillId="27" borderId="0" xfId="0" applyNumberFormat="1" applyFont="1" applyFill="1"/>
    <xf numFmtId="170" fontId="54" fillId="27" borderId="24" xfId="117" applyNumberFormat="1" applyFont="1" applyFill="1" applyBorder="1" applyProtection="1"/>
    <xf numFmtId="171" fontId="54" fillId="0" borderId="25" xfId="0" applyNumberFormat="1" applyFont="1" applyBorder="1"/>
    <xf numFmtId="170" fontId="54" fillId="27" borderId="25" xfId="0" applyNumberFormat="1" applyFont="1" applyFill="1" applyBorder="1"/>
    <xf numFmtId="170" fontId="54" fillId="27" borderId="25" xfId="117" applyNumberFormat="1" applyFont="1" applyFill="1" applyBorder="1" applyProtection="1"/>
    <xf numFmtId="170" fontId="54" fillId="27" borderId="14" xfId="117" applyNumberFormat="1" applyFont="1" applyFill="1" applyBorder="1" applyProtection="1"/>
    <xf numFmtId="170" fontId="1" fillId="0" borderId="25" xfId="117" applyNumberFormat="1" applyBorder="1" applyProtection="1"/>
    <xf numFmtId="170" fontId="7" fillId="0" borderId="25" xfId="117" applyNumberFormat="1" applyFont="1" applyBorder="1" applyProtection="1"/>
    <xf numFmtId="170" fontId="7" fillId="0" borderId="25" xfId="117" applyNumberFormat="1" applyFont="1" applyFill="1" applyBorder="1" applyProtection="1"/>
    <xf numFmtId="170" fontId="1" fillId="0" borderId="26" xfId="117" applyNumberFormat="1" applyBorder="1" applyProtection="1"/>
    <xf numFmtId="170" fontId="7" fillId="0" borderId="26" xfId="117" applyNumberFormat="1" applyFont="1" applyFill="1" applyBorder="1" applyProtection="1"/>
    <xf numFmtId="0" fontId="69" fillId="0" borderId="0" xfId="0" applyFont="1"/>
    <xf numFmtId="169" fontId="7" fillId="0" borderId="29" xfId="549" applyFont="1" applyBorder="1" applyAlignment="1" applyProtection="1">
      <alignment horizontal="center"/>
    </xf>
    <xf numFmtId="169" fontId="7" fillId="0" borderId="29" xfId="549" quotePrefix="1" applyFont="1" applyBorder="1" applyAlignment="1" applyProtection="1">
      <alignment horizontal="center"/>
    </xf>
    <xf numFmtId="3" fontId="7" fillId="0" borderId="30" xfId="549" applyNumberFormat="1" applyFont="1" applyBorder="1" applyAlignment="1" applyProtection="1">
      <alignment horizontal="center"/>
    </xf>
    <xf numFmtId="170" fontId="7" fillId="0" borderId="13" xfId="117" quotePrefix="1" applyNumberFormat="1" applyFont="1" applyBorder="1" applyAlignment="1" applyProtection="1">
      <alignment horizontal="right"/>
    </xf>
    <xf numFmtId="170" fontId="39" fillId="0" borderId="0" xfId="117" applyNumberFormat="1" applyFont="1" applyBorder="1" applyProtection="1"/>
    <xf numFmtId="0" fontId="57" fillId="0" borderId="31" xfId="117" applyNumberFormat="1" applyFont="1" applyFill="1" applyBorder="1" applyAlignment="1" applyProtection="1">
      <alignment horizontal="left"/>
    </xf>
    <xf numFmtId="170" fontId="7" fillId="0" borderId="32" xfId="117" quotePrefix="1" applyNumberFormat="1" applyFont="1" applyBorder="1" applyAlignment="1" applyProtection="1">
      <alignment horizontal="right"/>
    </xf>
    <xf numFmtId="170" fontId="39" fillId="0" borderId="11" xfId="117" applyNumberFormat="1" applyFont="1" applyBorder="1" applyProtection="1"/>
    <xf numFmtId="170" fontId="55" fillId="0" borderId="26" xfId="117" applyNumberFormat="1" applyFont="1" applyBorder="1" applyProtection="1"/>
    <xf numFmtId="170" fontId="39" fillId="0" borderId="6" xfId="117" applyNumberFormat="1" applyFont="1" applyFill="1" applyBorder="1" applyAlignment="1" applyProtection="1">
      <alignment horizontal="left"/>
    </xf>
    <xf numFmtId="170" fontId="39" fillId="0" borderId="16" xfId="117" applyNumberFormat="1" applyFont="1" applyFill="1" applyBorder="1" applyAlignment="1" applyProtection="1">
      <alignment horizontal="left"/>
    </xf>
    <xf numFmtId="0" fontId="0" fillId="0" borderId="23" xfId="0" applyBorder="1"/>
    <xf numFmtId="170" fontId="7" fillId="0" borderId="14" xfId="117" applyNumberFormat="1" applyFont="1" applyFill="1" applyBorder="1" applyAlignment="1" applyProtection="1">
      <alignment horizontal="right"/>
    </xf>
    <xf numFmtId="170" fontId="39" fillId="0" borderId="0" xfId="117" applyNumberFormat="1" applyFont="1" applyBorder="1" applyAlignment="1" applyProtection="1">
      <alignment horizontal="center" wrapText="1"/>
    </xf>
    <xf numFmtId="170" fontId="39" fillId="27" borderId="24" xfId="117" quotePrefix="1" applyNumberFormat="1" applyFont="1" applyFill="1" applyBorder="1" applyAlignment="1" applyProtection="1">
      <alignment horizontal="center" wrapText="1"/>
    </xf>
    <xf numFmtId="170" fontId="39" fillId="27" borderId="26" xfId="117" applyNumberFormat="1" applyFont="1" applyFill="1" applyBorder="1" applyAlignment="1" applyProtection="1">
      <alignment horizontal="center"/>
    </xf>
    <xf numFmtId="170" fontId="54" fillId="27" borderId="24" xfId="0" applyNumberFormat="1" applyFont="1" applyFill="1" applyBorder="1"/>
    <xf numFmtId="168" fontId="54" fillId="27" borderId="25" xfId="117" applyNumberFormat="1" applyFont="1" applyFill="1" applyBorder="1" applyProtection="1"/>
    <xf numFmtId="168" fontId="54" fillId="27" borderId="14" xfId="117" applyNumberFormat="1" applyFont="1" applyFill="1" applyBorder="1" applyProtection="1"/>
    <xf numFmtId="171" fontId="54" fillId="29" borderId="25" xfId="0" applyNumberFormat="1" applyFont="1" applyFill="1" applyBorder="1"/>
    <xf numFmtId="171" fontId="7" fillId="29" borderId="25" xfId="0" applyNumberFormat="1" applyFont="1" applyFill="1" applyBorder="1"/>
    <xf numFmtId="170" fontId="7" fillId="0" borderId="14" xfId="117" applyNumberFormat="1" applyFont="1" applyFill="1" applyBorder="1" applyProtection="1"/>
    <xf numFmtId="170" fontId="7" fillId="0" borderId="26" xfId="117" applyNumberFormat="1" applyFont="1" applyBorder="1" applyProtection="1"/>
    <xf numFmtId="170" fontId="7" fillId="0" borderId="16" xfId="117" applyNumberFormat="1" applyFont="1" applyFill="1" applyBorder="1" applyProtection="1"/>
    <xf numFmtId="0" fontId="46" fillId="0" borderId="0" xfId="0" applyFont="1" applyAlignment="1">
      <alignment horizontal="center"/>
    </xf>
    <xf numFmtId="175" fontId="5" fillId="0" borderId="14" xfId="0" applyNumberFormat="1" applyFont="1" applyBorder="1"/>
    <xf numFmtId="176" fontId="7" fillId="0" borderId="14" xfId="117" applyNumberFormat="1" applyFont="1" applyBorder="1" applyProtection="1"/>
    <xf numFmtId="43" fontId="0" fillId="0" borderId="0" xfId="117" applyFont="1" applyProtection="1"/>
    <xf numFmtId="170" fontId="39" fillId="0" borderId="25" xfId="117" applyNumberFormat="1" applyFont="1" applyBorder="1" applyAlignment="1" applyProtection="1">
      <alignment horizontal="center"/>
    </xf>
    <xf numFmtId="170" fontId="54" fillId="27" borderId="0" xfId="0" quotePrefix="1" applyNumberFormat="1" applyFont="1" applyFill="1" applyAlignment="1">
      <alignment horizontal="left"/>
    </xf>
    <xf numFmtId="171" fontId="7" fillId="0" borderId="19" xfId="0" applyNumberFormat="1" applyFont="1" applyBorder="1"/>
    <xf numFmtId="0" fontId="39" fillId="0" borderId="13" xfId="0" applyFont="1" applyBorder="1" applyAlignment="1">
      <alignment horizontal="center"/>
    </xf>
    <xf numFmtId="170" fontId="64" fillId="27" borderId="25" xfId="117" applyNumberFormat="1" applyFont="1" applyFill="1" applyBorder="1" applyProtection="1"/>
    <xf numFmtId="0" fontId="68" fillId="0" borderId="0" xfId="0" applyFont="1" applyAlignment="1">
      <alignment horizontal="center"/>
    </xf>
    <xf numFmtId="171" fontId="54" fillId="29" borderId="24" xfId="0" applyNumberFormat="1" applyFont="1" applyFill="1" applyBorder="1"/>
    <xf numFmtId="171" fontId="7" fillId="29" borderId="24" xfId="0" applyNumberFormat="1" applyFont="1" applyFill="1" applyBorder="1"/>
    <xf numFmtId="0" fontId="84" fillId="0" borderId="0" xfId="549" applyNumberFormat="1" applyFont="1" applyProtection="1"/>
    <xf numFmtId="0" fontId="83" fillId="0" borderId="0" xfId="0" applyFont="1" applyAlignment="1">
      <alignment horizontal="left"/>
    </xf>
    <xf numFmtId="0" fontId="83" fillId="0" borderId="0" xfId="549" applyNumberFormat="1" applyFont="1" applyProtection="1"/>
    <xf numFmtId="0" fontId="61" fillId="28" borderId="22" xfId="0" quotePrefix="1" applyFont="1" applyFill="1" applyBorder="1" applyAlignment="1">
      <alignment horizontal="center"/>
    </xf>
    <xf numFmtId="170" fontId="54" fillId="27" borderId="13" xfId="0" applyNumberFormat="1" applyFont="1" applyFill="1" applyBorder="1"/>
    <xf numFmtId="171" fontId="7" fillId="0" borderId="13" xfId="0" applyNumberFormat="1" applyFont="1" applyBorder="1"/>
    <xf numFmtId="171" fontId="7" fillId="29" borderId="0" xfId="0" applyNumberFormat="1" applyFont="1" applyFill="1"/>
    <xf numFmtId="170" fontId="7" fillId="0" borderId="15" xfId="0" applyNumberFormat="1" applyFont="1" applyBorder="1"/>
    <xf numFmtId="0" fontId="7" fillId="0" borderId="22" xfId="0" applyFont="1" applyBorder="1" applyAlignment="1">
      <alignment horizontal="left"/>
    </xf>
    <xf numFmtId="170" fontId="82" fillId="27" borderId="0" xfId="0" applyNumberFormat="1" applyFont="1" applyFill="1"/>
    <xf numFmtId="170" fontId="82" fillId="27" borderId="25" xfId="117" applyNumberFormat="1" applyFont="1" applyFill="1" applyBorder="1" applyProtection="1"/>
    <xf numFmtId="170" fontId="82" fillId="27" borderId="25" xfId="0" applyNumberFormat="1" applyFont="1" applyFill="1" applyBorder="1"/>
    <xf numFmtId="170" fontId="82" fillId="27" borderId="24" xfId="0" applyNumberFormat="1" applyFont="1" applyFill="1" applyBorder="1"/>
    <xf numFmtId="168" fontId="82" fillId="27" borderId="25" xfId="117" applyNumberFormat="1" applyFont="1" applyFill="1" applyBorder="1" applyProtection="1"/>
    <xf numFmtId="168" fontId="82" fillId="27" borderId="14" xfId="117" applyNumberFormat="1" applyFont="1" applyFill="1" applyBorder="1" applyProtection="1"/>
    <xf numFmtId="170" fontId="85" fillId="27" borderId="0" xfId="0" applyNumberFormat="1" applyFont="1" applyFill="1"/>
    <xf numFmtId="170" fontId="85" fillId="27" borderId="25" xfId="117" applyNumberFormat="1" applyFont="1" applyFill="1" applyBorder="1" applyProtection="1"/>
    <xf numFmtId="170" fontId="85" fillId="27" borderId="25" xfId="0" applyNumberFormat="1" applyFont="1" applyFill="1" applyBorder="1"/>
    <xf numFmtId="170" fontId="85" fillId="27" borderId="14" xfId="117" applyNumberFormat="1" applyFont="1" applyFill="1" applyBorder="1" applyProtection="1"/>
    <xf numFmtId="170" fontId="54" fillId="27" borderId="14" xfId="0" applyNumberFormat="1" applyFont="1" applyFill="1" applyBorder="1"/>
    <xf numFmtId="171" fontId="7" fillId="0" borderId="18" xfId="0" applyNumberFormat="1" applyFont="1" applyBorder="1"/>
    <xf numFmtId="0" fontId="0" fillId="0" borderId="24" xfId="0" applyBorder="1" applyAlignment="1">
      <alignment horizontal="center"/>
    </xf>
    <xf numFmtId="43" fontId="77" fillId="27" borderId="24" xfId="117" applyFont="1" applyFill="1" applyBorder="1" applyAlignment="1" applyProtection="1">
      <alignment horizontal="right"/>
    </xf>
    <xf numFmtId="43" fontId="77" fillId="27" borderId="24" xfId="117" applyFont="1" applyFill="1" applyBorder="1" applyProtection="1"/>
    <xf numFmtId="43" fontId="1" fillId="27" borderId="24" xfId="117" applyFill="1" applyBorder="1" applyProtection="1"/>
    <xf numFmtId="43" fontId="0" fillId="0" borderId="24" xfId="117" applyFont="1" applyBorder="1" applyProtection="1"/>
    <xf numFmtId="43" fontId="77" fillId="27" borderId="25" xfId="117" applyFont="1" applyFill="1" applyBorder="1" applyAlignment="1" applyProtection="1">
      <alignment horizontal="center"/>
    </xf>
    <xf numFmtId="43" fontId="77" fillId="27" borderId="25" xfId="117" applyFont="1" applyFill="1" applyBorder="1" applyProtection="1"/>
    <xf numFmtId="43" fontId="1" fillId="27" borderId="25" xfId="117" applyFill="1" applyBorder="1" applyProtection="1"/>
    <xf numFmtId="43" fontId="0" fillId="0" borderId="25" xfId="117" applyFont="1" applyBorder="1" applyProtection="1"/>
    <xf numFmtId="0" fontId="7" fillId="27" borderId="0" xfId="0" applyFont="1" applyFill="1"/>
    <xf numFmtId="170" fontId="82" fillId="27" borderId="24" xfId="117" applyNumberFormat="1" applyFont="1" applyFill="1" applyBorder="1" applyProtection="1"/>
    <xf numFmtId="170" fontId="82" fillId="27" borderId="14" xfId="117" applyNumberFormat="1" applyFont="1" applyFill="1" applyBorder="1" applyProtection="1"/>
    <xf numFmtId="170" fontId="85" fillId="27" borderId="24" xfId="0" applyNumberFormat="1" applyFont="1" applyFill="1" applyBorder="1"/>
    <xf numFmtId="168" fontId="85" fillId="27" borderId="25" xfId="117" applyNumberFormat="1" applyFont="1" applyFill="1" applyBorder="1" applyProtection="1"/>
    <xf numFmtId="168" fontId="85" fillId="27" borderId="14" xfId="117" applyNumberFormat="1" applyFont="1" applyFill="1" applyBorder="1" applyProtection="1"/>
    <xf numFmtId="170" fontId="85" fillId="27" borderId="24" xfId="117" applyNumberFormat="1" applyFont="1" applyFill="1" applyBorder="1" applyProtection="1"/>
    <xf numFmtId="170" fontId="85" fillId="27" borderId="14" xfId="117" applyNumberFormat="1" applyFont="1" applyFill="1" applyBorder="1" applyAlignment="1" applyProtection="1">
      <alignment horizontal="right"/>
    </xf>
    <xf numFmtId="170" fontId="7" fillId="0" borderId="0" xfId="0" applyNumberFormat="1" applyFont="1" applyAlignment="1">
      <alignment horizontal="left"/>
    </xf>
    <xf numFmtId="170" fontId="54" fillId="0" borderId="26" xfId="117" applyNumberFormat="1" applyFont="1" applyFill="1" applyBorder="1" applyProtection="1"/>
    <xf numFmtId="170" fontId="54" fillId="0" borderId="16" xfId="117" applyNumberFormat="1" applyFont="1" applyFill="1" applyBorder="1" applyProtection="1"/>
    <xf numFmtId="0" fontId="54" fillId="27" borderId="0" xfId="0" applyFont="1" applyFill="1" applyAlignment="1">
      <alignment horizontal="left"/>
    </xf>
    <xf numFmtId="0" fontId="1" fillId="0" borderId="22" xfId="0" applyFont="1" applyBorder="1" applyAlignment="1">
      <alignment horizontal="left"/>
    </xf>
    <xf numFmtId="170" fontId="1" fillId="61" borderId="0" xfId="0" applyNumberFormat="1" applyFont="1" applyFill="1"/>
    <xf numFmtId="170" fontId="1" fillId="61" borderId="24" xfId="117" applyNumberFormat="1" applyFont="1" applyFill="1" applyBorder="1" applyProtection="1"/>
    <xf numFmtId="170" fontId="1" fillId="61" borderId="25" xfId="0" applyNumberFormat="1" applyFont="1" applyFill="1" applyBorder="1"/>
    <xf numFmtId="170" fontId="1" fillId="61" borderId="14" xfId="117" applyNumberFormat="1" applyFont="1" applyFill="1" applyBorder="1" applyProtection="1"/>
    <xf numFmtId="170" fontId="122" fillId="61" borderId="0" xfId="0" applyNumberFormat="1" applyFont="1" applyFill="1"/>
    <xf numFmtId="170" fontId="122" fillId="61" borderId="25" xfId="117" applyNumberFormat="1" applyFont="1" applyFill="1" applyBorder="1" applyProtection="1"/>
    <xf numFmtId="170" fontId="122" fillId="61" borderId="14" xfId="117" applyNumberFormat="1" applyFont="1" applyFill="1" applyBorder="1" applyProtection="1"/>
    <xf numFmtId="171" fontId="1" fillId="0" borderId="25" xfId="0" applyNumberFormat="1" applyFont="1" applyBorder="1"/>
    <xf numFmtId="170" fontId="54" fillId="62" borderId="41" xfId="0" applyNumberFormat="1" applyFont="1" applyFill="1" applyBorder="1"/>
    <xf numFmtId="170" fontId="54" fillId="62" borderId="42" xfId="0" applyNumberFormat="1" applyFont="1" applyFill="1" applyBorder="1"/>
    <xf numFmtId="0" fontId="1" fillId="0" borderId="0" xfId="0" applyFont="1"/>
    <xf numFmtId="0" fontId="1" fillId="0" borderId="0" xfId="0" applyFont="1" applyAlignment="1">
      <alignment horizontal="center"/>
    </xf>
    <xf numFmtId="10" fontId="1" fillId="0" borderId="0" xfId="0" applyNumberFormat="1" applyFont="1"/>
    <xf numFmtId="170" fontId="1" fillId="0" borderId="0" xfId="117" applyNumberFormat="1" applyFont="1" applyProtection="1"/>
    <xf numFmtId="170" fontId="1" fillId="0" borderId="0" xfId="117" applyNumberFormat="1" applyFont="1" applyBorder="1" applyProtection="1"/>
    <xf numFmtId="0" fontId="1" fillId="0" borderId="18" xfId="0" applyFont="1" applyBorder="1"/>
    <xf numFmtId="170" fontId="1" fillId="0" borderId="6" xfId="117" applyNumberFormat="1" applyFont="1" applyBorder="1" applyProtection="1"/>
    <xf numFmtId="170" fontId="1" fillId="0" borderId="16" xfId="117" applyNumberFormat="1" applyFont="1" applyBorder="1" applyProtection="1"/>
    <xf numFmtId="0" fontId="1" fillId="0" borderId="0" xfId="0" applyFont="1" applyAlignment="1">
      <alignment wrapText="1"/>
    </xf>
    <xf numFmtId="0" fontId="1" fillId="0" borderId="13" xfId="0" quotePrefix="1" applyFont="1" applyBorder="1" applyAlignment="1">
      <alignment horizontal="left"/>
    </xf>
    <xf numFmtId="0" fontId="1" fillId="0" borderId="13" xfId="0" applyFont="1" applyBorder="1"/>
    <xf numFmtId="170" fontId="1" fillId="0" borderId="14" xfId="0" applyNumberFormat="1" applyFont="1" applyBorder="1" applyAlignment="1">
      <alignment horizontal="right"/>
    </xf>
    <xf numFmtId="170" fontId="1" fillId="0" borderId="0" xfId="0" applyNumberFormat="1" applyFont="1" applyAlignment="1">
      <alignment horizontal="right"/>
    </xf>
    <xf numFmtId="10" fontId="1" fillId="0" borderId="14" xfId="0" applyNumberFormat="1" applyFont="1" applyBorder="1"/>
    <xf numFmtId="170" fontId="1" fillId="0" borderId="14" xfId="117" applyNumberFormat="1" applyFont="1" applyBorder="1" applyProtection="1"/>
    <xf numFmtId="0" fontId="1" fillId="0" borderId="25" xfId="0" applyFont="1" applyBorder="1" applyAlignment="1">
      <alignment horizontal="center"/>
    </xf>
    <xf numFmtId="170" fontId="1" fillId="0" borderId="0" xfId="0" applyNumberFormat="1" applyFont="1"/>
    <xf numFmtId="170" fontId="1" fillId="0" borderId="25" xfId="0" applyNumberFormat="1" applyFont="1" applyBorder="1"/>
    <xf numFmtId="170" fontId="1" fillId="0" borderId="14" xfId="117" applyNumberFormat="1" applyFont="1" applyBorder="1"/>
    <xf numFmtId="171" fontId="1" fillId="0" borderId="14" xfId="0" applyNumberFormat="1" applyFont="1" applyBorder="1"/>
    <xf numFmtId="171" fontId="1" fillId="0" borderId="24" xfId="0" applyNumberFormat="1" applyFont="1" applyBorder="1"/>
    <xf numFmtId="170" fontId="1" fillId="0" borderId="25" xfId="117" applyNumberFormat="1" applyFont="1" applyBorder="1"/>
    <xf numFmtId="0" fontId="1" fillId="0" borderId="26" xfId="0" applyFont="1" applyBorder="1" applyAlignment="1">
      <alignment horizontal="center"/>
    </xf>
    <xf numFmtId="170" fontId="1" fillId="0" borderId="26" xfId="0" applyNumberFormat="1" applyFont="1" applyBorder="1"/>
    <xf numFmtId="170" fontId="1" fillId="0" borderId="26" xfId="117" applyNumberFormat="1" applyFont="1" applyBorder="1" applyProtection="1"/>
    <xf numFmtId="171" fontId="1" fillId="0" borderId="16" xfId="0" applyNumberFormat="1" applyFont="1" applyBorder="1"/>
    <xf numFmtId="171" fontId="1" fillId="0" borderId="26" xfId="0" applyNumberFormat="1" applyFont="1" applyBorder="1"/>
    <xf numFmtId="171" fontId="1" fillId="0" borderId="0" xfId="0" applyNumberFormat="1" applyFont="1"/>
    <xf numFmtId="0" fontId="1" fillId="0" borderId="0" xfId="0" applyFont="1" applyAlignment="1">
      <alignment horizontal="left"/>
    </xf>
    <xf numFmtId="169" fontId="1" fillId="0" borderId="29" xfId="549" applyFont="1" applyBorder="1" applyAlignment="1" applyProtection="1">
      <alignment horizontal="center"/>
    </xf>
    <xf numFmtId="169" fontId="1" fillId="0" borderId="29" xfId="549" quotePrefix="1" applyFont="1" applyBorder="1" applyAlignment="1" applyProtection="1">
      <alignment horizontal="center"/>
    </xf>
    <xf numFmtId="3" fontId="1" fillId="0" borderId="30" xfId="549" applyNumberFormat="1" applyFont="1" applyBorder="1" applyAlignment="1" applyProtection="1">
      <alignment horizontal="center"/>
    </xf>
    <xf numFmtId="170" fontId="1" fillId="0" borderId="13" xfId="117" quotePrefix="1" applyNumberFormat="1" applyFont="1" applyBorder="1" applyAlignment="1" applyProtection="1">
      <alignment horizontal="right"/>
    </xf>
    <xf numFmtId="170" fontId="1" fillId="0" borderId="14" xfId="0" applyNumberFormat="1" applyFont="1" applyBorder="1"/>
    <xf numFmtId="170" fontId="1" fillId="0" borderId="32" xfId="117" quotePrefix="1" applyNumberFormat="1" applyFont="1" applyBorder="1" applyAlignment="1" applyProtection="1">
      <alignment horizontal="right"/>
    </xf>
    <xf numFmtId="170" fontId="1" fillId="0" borderId="20" xfId="0" applyNumberFormat="1" applyFont="1" applyBorder="1"/>
    <xf numFmtId="0" fontId="1" fillId="0" borderId="15" xfId="0" quotePrefix="1" applyFont="1" applyBorder="1" applyAlignment="1">
      <alignment horizontal="right"/>
    </xf>
    <xf numFmtId="0" fontId="1" fillId="0" borderId="21" xfId="0" applyFont="1" applyBorder="1" applyAlignment="1">
      <alignment horizontal="center"/>
    </xf>
    <xf numFmtId="170" fontId="1" fillId="0" borderId="14" xfId="117" applyNumberFormat="1" applyFont="1" applyFill="1" applyBorder="1" applyAlignment="1" applyProtection="1">
      <alignment horizontal="right"/>
    </xf>
    <xf numFmtId="0" fontId="1" fillId="0" borderId="14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0" fontId="1" fillId="0" borderId="15" xfId="0" applyFont="1" applyBorder="1"/>
    <xf numFmtId="0" fontId="1" fillId="0" borderId="6" xfId="0" applyFont="1" applyBorder="1" applyAlignment="1">
      <alignment horizontal="center"/>
    </xf>
    <xf numFmtId="170" fontId="1" fillId="0" borderId="6" xfId="0" applyNumberFormat="1" applyFont="1" applyBorder="1"/>
    <xf numFmtId="170" fontId="1" fillId="0" borderId="25" xfId="117" applyNumberFormat="1" applyFont="1" applyBorder="1" applyProtection="1"/>
    <xf numFmtId="170" fontId="54" fillId="0" borderId="25" xfId="117" applyNumberFormat="1" applyFont="1" applyFill="1" applyBorder="1" applyProtection="1"/>
    <xf numFmtId="170" fontId="54" fillId="0" borderId="14" xfId="117" applyNumberFormat="1" applyFont="1" applyFill="1" applyBorder="1" applyProtection="1"/>
    <xf numFmtId="170" fontId="54" fillId="27" borderId="0" xfId="117" applyNumberFormat="1" applyFont="1" applyFill="1" applyAlignment="1" applyProtection="1">
      <alignment vertical="center"/>
    </xf>
    <xf numFmtId="6" fontId="39" fillId="0" borderId="0" xfId="117" applyNumberFormat="1" applyFont="1" applyAlignment="1" applyProtection="1">
      <alignment vertical="center"/>
    </xf>
    <xf numFmtId="43" fontId="0" fillId="0" borderId="0" xfId="0" applyNumberFormat="1"/>
    <xf numFmtId="43" fontId="0" fillId="0" borderId="0" xfId="0" applyNumberFormat="1" applyAlignment="1">
      <alignment horizontal="center" vertical="center"/>
    </xf>
    <xf numFmtId="43" fontId="39" fillId="0" borderId="11" xfId="0" applyNumberFormat="1" applyFont="1" applyBorder="1" applyAlignment="1">
      <alignment horizontal="centerContinuous"/>
    </xf>
    <xf numFmtId="43" fontId="72" fillId="0" borderId="0" xfId="0" applyNumberFormat="1" applyFont="1"/>
    <xf numFmtId="43" fontId="65" fillId="0" borderId="0" xfId="0" applyNumberFormat="1" applyFont="1" applyAlignment="1">
      <alignment horizontal="center"/>
    </xf>
    <xf numFmtId="170" fontId="0" fillId="0" borderId="0" xfId="117" applyNumberFormat="1" applyFont="1" applyAlignment="1" applyProtection="1">
      <alignment horizontal="center" vertical="center"/>
    </xf>
    <xf numFmtId="170" fontId="0" fillId="0" borderId="0" xfId="117" applyNumberFormat="1" applyFont="1" applyAlignment="1" applyProtection="1">
      <alignment horizontal="center"/>
    </xf>
    <xf numFmtId="170" fontId="0" fillId="0" borderId="0" xfId="117" applyNumberFormat="1" applyFont="1" applyAlignment="1" applyProtection="1">
      <alignment wrapText="1"/>
    </xf>
    <xf numFmtId="170" fontId="0" fillId="0" borderId="0" xfId="117" applyNumberFormat="1" applyFont="1" applyBorder="1" applyProtection="1"/>
    <xf numFmtId="180" fontId="7" fillId="0" borderId="14" xfId="117" quotePrefix="1" applyNumberFormat="1" applyFont="1" applyFill="1" applyBorder="1" applyAlignment="1" applyProtection="1">
      <alignment horizontal="right"/>
    </xf>
    <xf numFmtId="180" fontId="39" fillId="0" borderId="0" xfId="0" applyNumberFormat="1" applyFont="1"/>
    <xf numFmtId="180" fontId="1" fillId="0" borderId="0" xfId="117" applyNumberFormat="1" applyFont="1" applyFill="1" applyAlignment="1" applyProtection="1">
      <alignment vertical="center"/>
    </xf>
    <xf numFmtId="180" fontId="1" fillId="0" borderId="0" xfId="117" applyNumberFormat="1" applyFont="1" applyFill="1" applyBorder="1" applyAlignment="1" applyProtection="1">
      <alignment vertical="center"/>
    </xf>
    <xf numFmtId="170" fontId="1" fillId="0" borderId="6" xfId="549" applyNumberFormat="1" applyFont="1" applyBorder="1" applyAlignment="1" applyProtection="1">
      <alignment horizontal="center"/>
    </xf>
    <xf numFmtId="0" fontId="39" fillId="0" borderId="22" xfId="0" applyFont="1" applyBorder="1" applyAlignment="1">
      <alignment horizontal="left" vertical="top"/>
    </xf>
    <xf numFmtId="0" fontId="0" fillId="0" borderId="22" xfId="0" applyBorder="1" applyAlignment="1">
      <alignment horizontal="left"/>
    </xf>
    <xf numFmtId="0" fontId="39" fillId="0" borderId="22" xfId="0" applyFont="1" applyBorder="1" applyAlignment="1">
      <alignment horizontal="left"/>
    </xf>
    <xf numFmtId="37" fontId="0" fillId="0" borderId="0" xfId="117" applyNumberFormat="1" applyFont="1" applyProtection="1"/>
    <xf numFmtId="37" fontId="0" fillId="0" borderId="0" xfId="117" applyNumberFormat="1" applyFont="1" applyBorder="1" applyProtection="1"/>
    <xf numFmtId="170" fontId="1" fillId="61" borderId="25" xfId="117" applyNumberFormat="1" applyFont="1" applyFill="1" applyBorder="1" applyProtection="1"/>
    <xf numFmtId="37" fontId="1" fillId="27" borderId="25" xfId="0" applyNumberFormat="1" applyFont="1" applyFill="1" applyBorder="1"/>
    <xf numFmtId="170" fontId="1" fillId="0" borderId="16" xfId="117" applyNumberFormat="1" applyFont="1" applyBorder="1"/>
    <xf numFmtId="170" fontId="1" fillId="0" borderId="26" xfId="117" applyNumberFormat="1" applyFont="1" applyBorder="1"/>
    <xf numFmtId="0" fontId="61" fillId="0" borderId="22" xfId="0" applyFont="1" applyBorder="1" applyAlignment="1">
      <alignment horizontal="center"/>
    </xf>
    <xf numFmtId="10" fontId="1" fillId="0" borderId="13" xfId="0" applyNumberFormat="1" applyFont="1" applyBorder="1"/>
    <xf numFmtId="37" fontId="39" fillId="0" borderId="19" xfId="117" applyNumberFormat="1" applyFont="1" applyBorder="1"/>
    <xf numFmtId="37" fontId="39" fillId="0" borderId="20" xfId="117" applyNumberFormat="1" applyFont="1" applyBorder="1"/>
    <xf numFmtId="37" fontId="7" fillId="0" borderId="16" xfId="117" applyNumberFormat="1" applyFont="1" applyBorder="1"/>
    <xf numFmtId="0" fontId="39" fillId="0" borderId="11" xfId="0" applyFont="1" applyBorder="1" applyAlignment="1">
      <alignment horizontal="center"/>
    </xf>
    <xf numFmtId="0" fontId="65" fillId="0" borderId="0" xfId="0" applyFont="1" applyAlignment="1">
      <alignment horizontal="center" wrapText="1"/>
    </xf>
    <xf numFmtId="169" fontId="7" fillId="0" borderId="17" xfId="549" applyFont="1" applyBorder="1" applyAlignment="1" applyProtection="1">
      <alignment wrapText="1"/>
    </xf>
    <xf numFmtId="0" fontId="7" fillId="0" borderId="18" xfId="0" applyFont="1" applyBorder="1" applyAlignment="1">
      <alignment wrapText="1"/>
    </xf>
    <xf numFmtId="0" fontId="7" fillId="0" borderId="19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7" fillId="0" borderId="0" xfId="0" applyFont="1" applyAlignment="1">
      <alignment wrapText="1"/>
    </xf>
    <xf numFmtId="0" fontId="7" fillId="0" borderId="14" xfId="0" applyFont="1" applyBorder="1" applyAlignment="1">
      <alignment wrapText="1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49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490" applyFont="1" applyAlignment="1">
      <alignment horizontal="center"/>
    </xf>
    <xf numFmtId="0" fontId="6" fillId="0" borderId="0" xfId="490" quotePrefix="1" applyFont="1" applyAlignment="1">
      <alignment horizontal="center"/>
    </xf>
    <xf numFmtId="3" fontId="6" fillId="0" borderId="0" xfId="0" applyNumberFormat="1" applyFont="1" applyAlignment="1">
      <alignment horizontal="center"/>
    </xf>
    <xf numFmtId="0" fontId="6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</cellXfs>
  <cellStyles count="735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2" xfId="4" builtinId="34" customBuiltin="1"/>
    <cellStyle name="20% - Accent2 2" xfId="5" xr:uid="{00000000-0005-0000-0000-000004000000}"/>
    <cellStyle name="20% - Accent2 2 2" xfId="6" xr:uid="{00000000-0005-0000-0000-000005000000}"/>
    <cellStyle name="20% - Accent3" xfId="7" builtinId="38" customBuiltin="1"/>
    <cellStyle name="20% - Accent3 2" xfId="8" xr:uid="{00000000-0005-0000-0000-000007000000}"/>
    <cellStyle name="20% - Accent3 2 2" xfId="9" xr:uid="{00000000-0005-0000-0000-000008000000}"/>
    <cellStyle name="20% - Accent4" xfId="10" builtinId="42" customBuiltin="1"/>
    <cellStyle name="20% - Accent4 2" xfId="11" xr:uid="{00000000-0005-0000-0000-00000A000000}"/>
    <cellStyle name="20% - Accent4 2 2" xfId="12" xr:uid="{00000000-0005-0000-0000-00000B000000}"/>
    <cellStyle name="20% - Accent5" xfId="13" builtinId="46" customBuiltin="1"/>
    <cellStyle name="20% - Accent5 2" xfId="14" xr:uid="{00000000-0005-0000-0000-00000D000000}"/>
    <cellStyle name="20% - Accent5 2 2" xfId="15" xr:uid="{00000000-0005-0000-0000-00000E000000}"/>
    <cellStyle name="20% - Accent6" xfId="16" builtinId="50" customBuiltin="1"/>
    <cellStyle name="20% - Accent6 2" xfId="17" xr:uid="{00000000-0005-0000-0000-000010000000}"/>
    <cellStyle name="20% - Accent6 2 2" xfId="18" xr:uid="{00000000-0005-0000-0000-000011000000}"/>
    <cellStyle name="40% - Accent1" xfId="19" builtinId="31" customBuiltin="1"/>
    <cellStyle name="40% - Accent1 2" xfId="20" xr:uid="{00000000-0005-0000-0000-000013000000}"/>
    <cellStyle name="40% - Accent1 2 2" xfId="21" xr:uid="{00000000-0005-0000-0000-000014000000}"/>
    <cellStyle name="40% - Accent2" xfId="22" builtinId="35" customBuiltin="1"/>
    <cellStyle name="40% - Accent2 2" xfId="23" xr:uid="{00000000-0005-0000-0000-000016000000}"/>
    <cellStyle name="40% - Accent2 2 2" xfId="24" xr:uid="{00000000-0005-0000-0000-000017000000}"/>
    <cellStyle name="40% - Accent3" xfId="25" builtinId="39" customBuiltin="1"/>
    <cellStyle name="40% - Accent3 2" xfId="26" xr:uid="{00000000-0005-0000-0000-000019000000}"/>
    <cellStyle name="40% - Accent3 2 2" xfId="27" xr:uid="{00000000-0005-0000-0000-00001A000000}"/>
    <cellStyle name="40% - Accent4" xfId="28" builtinId="43" customBuiltin="1"/>
    <cellStyle name="40% - Accent4 2" xfId="29" xr:uid="{00000000-0005-0000-0000-00001C000000}"/>
    <cellStyle name="40% - Accent4 2 2" xfId="30" xr:uid="{00000000-0005-0000-0000-00001D000000}"/>
    <cellStyle name="40% - Accent5" xfId="31" builtinId="47" customBuiltin="1"/>
    <cellStyle name="40% - Accent5 2" xfId="32" xr:uid="{00000000-0005-0000-0000-00001F000000}"/>
    <cellStyle name="40% - Accent5 2 2" xfId="33" xr:uid="{00000000-0005-0000-0000-000020000000}"/>
    <cellStyle name="40% - Accent6" xfId="34" builtinId="51" customBuiltin="1"/>
    <cellStyle name="40% - Accent6 2" xfId="35" xr:uid="{00000000-0005-0000-0000-000022000000}"/>
    <cellStyle name="40% - Accent6 2 2" xfId="36" xr:uid="{00000000-0005-0000-0000-000023000000}"/>
    <cellStyle name="60% - Accent1" xfId="37" builtinId="32" customBuiltin="1"/>
    <cellStyle name="60% - Accent1 2" xfId="38" xr:uid="{00000000-0005-0000-0000-000025000000}"/>
    <cellStyle name="60% - Accent1 2 2" xfId="39" xr:uid="{00000000-0005-0000-0000-000026000000}"/>
    <cellStyle name="60% - Accent2" xfId="40" builtinId="36" customBuiltin="1"/>
    <cellStyle name="60% - Accent2 2" xfId="41" xr:uid="{00000000-0005-0000-0000-000028000000}"/>
    <cellStyle name="60% - Accent2 2 2" xfId="42" xr:uid="{00000000-0005-0000-0000-000029000000}"/>
    <cellStyle name="60% - Accent3" xfId="43" builtinId="40" customBuiltin="1"/>
    <cellStyle name="60% - Accent3 2" xfId="44" xr:uid="{00000000-0005-0000-0000-00002B000000}"/>
    <cellStyle name="60% - Accent3 2 2" xfId="45" xr:uid="{00000000-0005-0000-0000-00002C000000}"/>
    <cellStyle name="60% - Accent4" xfId="46" builtinId="44" customBuiltin="1"/>
    <cellStyle name="60% - Accent4 2" xfId="47" xr:uid="{00000000-0005-0000-0000-00002E000000}"/>
    <cellStyle name="60% - Accent4 2 2" xfId="48" xr:uid="{00000000-0005-0000-0000-00002F000000}"/>
    <cellStyle name="60% - Accent5" xfId="49" builtinId="48" customBuiltin="1"/>
    <cellStyle name="60% - Accent5 2" xfId="50" xr:uid="{00000000-0005-0000-0000-000031000000}"/>
    <cellStyle name="60% - Accent5 2 2" xfId="51" xr:uid="{00000000-0005-0000-0000-000032000000}"/>
    <cellStyle name="60% - Accent6" xfId="52" builtinId="52" customBuiltin="1"/>
    <cellStyle name="60% - Accent6 2" xfId="53" xr:uid="{00000000-0005-0000-0000-000034000000}"/>
    <cellStyle name="60% - Accent6 2 2" xfId="54" xr:uid="{00000000-0005-0000-0000-000035000000}"/>
    <cellStyle name="Accent1" xfId="55" builtinId="29" customBuiltin="1"/>
    <cellStyle name="Accent1 2" xfId="56" xr:uid="{00000000-0005-0000-0000-000037000000}"/>
    <cellStyle name="Accent1 2 2" xfId="57" xr:uid="{00000000-0005-0000-0000-000038000000}"/>
    <cellStyle name="Accent2" xfId="58" builtinId="33" customBuiltin="1"/>
    <cellStyle name="Accent2 2" xfId="59" xr:uid="{00000000-0005-0000-0000-00003A000000}"/>
    <cellStyle name="Accent2 2 2" xfId="60" xr:uid="{00000000-0005-0000-0000-00003B000000}"/>
    <cellStyle name="Accent3" xfId="61" builtinId="37" customBuiltin="1"/>
    <cellStyle name="Accent3 2" xfId="62" xr:uid="{00000000-0005-0000-0000-00003D000000}"/>
    <cellStyle name="Accent3 2 2" xfId="63" xr:uid="{00000000-0005-0000-0000-00003E000000}"/>
    <cellStyle name="Accent4" xfId="64" builtinId="41" customBuiltin="1"/>
    <cellStyle name="Accent4 2" xfId="65" xr:uid="{00000000-0005-0000-0000-000040000000}"/>
    <cellStyle name="Accent4 2 2" xfId="66" xr:uid="{00000000-0005-0000-0000-000041000000}"/>
    <cellStyle name="Accent5" xfId="67" builtinId="45" customBuiltin="1"/>
    <cellStyle name="Accent5 2" xfId="68" xr:uid="{00000000-0005-0000-0000-000043000000}"/>
    <cellStyle name="Accent5 2 2" xfId="69" xr:uid="{00000000-0005-0000-0000-000044000000}"/>
    <cellStyle name="Accent6" xfId="70" builtinId="49" customBuiltin="1"/>
    <cellStyle name="Accent6 2" xfId="71" xr:uid="{00000000-0005-0000-0000-000046000000}"/>
    <cellStyle name="Accent6 2 2" xfId="72" xr:uid="{00000000-0005-0000-0000-000047000000}"/>
    <cellStyle name="Bad" xfId="73" builtinId="27" customBuiltin="1"/>
    <cellStyle name="Bad 2" xfId="74" xr:uid="{00000000-0005-0000-0000-000049000000}"/>
    <cellStyle name="Bad 2 2" xfId="75" xr:uid="{00000000-0005-0000-0000-00004A000000}"/>
    <cellStyle name="C00A" xfId="76" xr:uid="{00000000-0005-0000-0000-00004B000000}"/>
    <cellStyle name="C00B" xfId="77" xr:uid="{00000000-0005-0000-0000-00004C000000}"/>
    <cellStyle name="C00L" xfId="78" xr:uid="{00000000-0005-0000-0000-00004D000000}"/>
    <cellStyle name="C01A" xfId="79" xr:uid="{00000000-0005-0000-0000-00004E000000}"/>
    <cellStyle name="C01B" xfId="80" xr:uid="{00000000-0005-0000-0000-00004F000000}"/>
    <cellStyle name="C01B 2" xfId="81" xr:uid="{00000000-0005-0000-0000-000050000000}"/>
    <cellStyle name="C01H" xfId="82" xr:uid="{00000000-0005-0000-0000-000051000000}"/>
    <cellStyle name="C01L" xfId="83" xr:uid="{00000000-0005-0000-0000-000052000000}"/>
    <cellStyle name="C02A" xfId="84" xr:uid="{00000000-0005-0000-0000-000053000000}"/>
    <cellStyle name="C02B" xfId="85" xr:uid="{00000000-0005-0000-0000-000054000000}"/>
    <cellStyle name="C02B 2" xfId="86" xr:uid="{00000000-0005-0000-0000-000055000000}"/>
    <cellStyle name="C02H" xfId="87" xr:uid="{00000000-0005-0000-0000-000056000000}"/>
    <cellStyle name="C02L" xfId="88" xr:uid="{00000000-0005-0000-0000-000057000000}"/>
    <cellStyle name="C03A" xfId="89" xr:uid="{00000000-0005-0000-0000-000058000000}"/>
    <cellStyle name="C03B" xfId="90" xr:uid="{00000000-0005-0000-0000-000059000000}"/>
    <cellStyle name="C03H" xfId="91" xr:uid="{00000000-0005-0000-0000-00005A000000}"/>
    <cellStyle name="C03L" xfId="92" xr:uid="{00000000-0005-0000-0000-00005B000000}"/>
    <cellStyle name="C04A" xfId="93" xr:uid="{00000000-0005-0000-0000-00005C000000}"/>
    <cellStyle name="C04A 2" xfId="94" xr:uid="{00000000-0005-0000-0000-00005D000000}"/>
    <cellStyle name="C04B" xfId="95" xr:uid="{00000000-0005-0000-0000-00005E000000}"/>
    <cellStyle name="C04H" xfId="96" xr:uid="{00000000-0005-0000-0000-00005F000000}"/>
    <cellStyle name="C04L" xfId="97" xr:uid="{00000000-0005-0000-0000-000060000000}"/>
    <cellStyle name="C05A" xfId="98" xr:uid="{00000000-0005-0000-0000-000061000000}"/>
    <cellStyle name="C05B" xfId="99" xr:uid="{00000000-0005-0000-0000-000062000000}"/>
    <cellStyle name="C05H" xfId="100" xr:uid="{00000000-0005-0000-0000-000063000000}"/>
    <cellStyle name="C05L" xfId="101" xr:uid="{00000000-0005-0000-0000-000064000000}"/>
    <cellStyle name="C05L 2" xfId="102" xr:uid="{00000000-0005-0000-0000-000065000000}"/>
    <cellStyle name="C06A" xfId="103" xr:uid="{00000000-0005-0000-0000-000066000000}"/>
    <cellStyle name="C06B" xfId="104" xr:uid="{00000000-0005-0000-0000-000067000000}"/>
    <cellStyle name="C06H" xfId="105" xr:uid="{00000000-0005-0000-0000-000068000000}"/>
    <cellStyle name="C06L" xfId="106" xr:uid="{00000000-0005-0000-0000-000069000000}"/>
    <cellStyle name="C07A" xfId="107" xr:uid="{00000000-0005-0000-0000-00006A000000}"/>
    <cellStyle name="C07B" xfId="108" xr:uid="{00000000-0005-0000-0000-00006B000000}"/>
    <cellStyle name="C07H" xfId="109" xr:uid="{00000000-0005-0000-0000-00006C000000}"/>
    <cellStyle name="C07L" xfId="110" xr:uid="{00000000-0005-0000-0000-00006D000000}"/>
    <cellStyle name="Calculation" xfId="111" builtinId="22" customBuiltin="1"/>
    <cellStyle name="Calculation 2" xfId="112" xr:uid="{00000000-0005-0000-0000-00006F000000}"/>
    <cellStyle name="Calculation 2 2" xfId="113" xr:uid="{00000000-0005-0000-0000-000070000000}"/>
    <cellStyle name="Check Cell" xfId="114" builtinId="23" customBuiltin="1"/>
    <cellStyle name="Check Cell 2" xfId="115" xr:uid="{00000000-0005-0000-0000-000072000000}"/>
    <cellStyle name="Check Cell 2 2" xfId="116" xr:uid="{00000000-0005-0000-0000-000073000000}"/>
    <cellStyle name="Comma" xfId="117" builtinId="3"/>
    <cellStyle name="Comma [0] 2" xfId="118" xr:uid="{00000000-0005-0000-0000-000075000000}"/>
    <cellStyle name="Comma [0] 2 2" xfId="119" xr:uid="{00000000-0005-0000-0000-000076000000}"/>
    <cellStyle name="Comma 10" xfId="120" xr:uid="{00000000-0005-0000-0000-000077000000}"/>
    <cellStyle name="Comma 11" xfId="121" xr:uid="{00000000-0005-0000-0000-000078000000}"/>
    <cellStyle name="Comma 12" xfId="122" xr:uid="{00000000-0005-0000-0000-000079000000}"/>
    <cellStyle name="Comma 13" xfId="123" xr:uid="{00000000-0005-0000-0000-00007A000000}"/>
    <cellStyle name="Comma 14" xfId="124" xr:uid="{00000000-0005-0000-0000-00007B000000}"/>
    <cellStyle name="Comma 15" xfId="125" xr:uid="{00000000-0005-0000-0000-00007C000000}"/>
    <cellStyle name="Comma 16" xfId="126" xr:uid="{00000000-0005-0000-0000-00007D000000}"/>
    <cellStyle name="Comma 17" xfId="127" xr:uid="{00000000-0005-0000-0000-00007E000000}"/>
    <cellStyle name="Comma 18" xfId="128" xr:uid="{00000000-0005-0000-0000-00007F000000}"/>
    <cellStyle name="Comma 19" xfId="129" xr:uid="{00000000-0005-0000-0000-000080000000}"/>
    <cellStyle name="Comma 2" xfId="130" xr:uid="{00000000-0005-0000-0000-000081000000}"/>
    <cellStyle name="Comma 2 2" xfId="131" xr:uid="{00000000-0005-0000-0000-000082000000}"/>
    <cellStyle name="Comma 2 2 2" xfId="132" xr:uid="{00000000-0005-0000-0000-000083000000}"/>
    <cellStyle name="Comma 2 3" xfId="133" xr:uid="{00000000-0005-0000-0000-000084000000}"/>
    <cellStyle name="Comma 2 3 2" xfId="134" xr:uid="{00000000-0005-0000-0000-000085000000}"/>
    <cellStyle name="Comma 2 3 3" xfId="135" xr:uid="{00000000-0005-0000-0000-000086000000}"/>
    <cellStyle name="Comma 2 3 4" xfId="136" xr:uid="{00000000-0005-0000-0000-000087000000}"/>
    <cellStyle name="Comma 2 4" xfId="137" xr:uid="{00000000-0005-0000-0000-000088000000}"/>
    <cellStyle name="Comma 20" xfId="138" xr:uid="{00000000-0005-0000-0000-000089000000}"/>
    <cellStyle name="Comma 21" xfId="139" xr:uid="{00000000-0005-0000-0000-00008A000000}"/>
    <cellStyle name="Comma 22" xfId="140" xr:uid="{00000000-0005-0000-0000-00008B000000}"/>
    <cellStyle name="Comma 23" xfId="141" xr:uid="{00000000-0005-0000-0000-00008C000000}"/>
    <cellStyle name="Comma 24" xfId="142" xr:uid="{00000000-0005-0000-0000-00008D000000}"/>
    <cellStyle name="Comma 25" xfId="143" xr:uid="{00000000-0005-0000-0000-00008E000000}"/>
    <cellStyle name="Comma 25 2" xfId="144" xr:uid="{00000000-0005-0000-0000-00008F000000}"/>
    <cellStyle name="Comma 26" xfId="145" xr:uid="{00000000-0005-0000-0000-000090000000}"/>
    <cellStyle name="Comma 26 2" xfId="146" xr:uid="{00000000-0005-0000-0000-000091000000}"/>
    <cellStyle name="Comma 27" xfId="147" xr:uid="{00000000-0005-0000-0000-000092000000}"/>
    <cellStyle name="Comma 27 2" xfId="148" xr:uid="{00000000-0005-0000-0000-000093000000}"/>
    <cellStyle name="Comma 28" xfId="149" xr:uid="{00000000-0005-0000-0000-000094000000}"/>
    <cellStyle name="Comma 28 2" xfId="150" xr:uid="{00000000-0005-0000-0000-000095000000}"/>
    <cellStyle name="Comma 29" xfId="151" xr:uid="{00000000-0005-0000-0000-000096000000}"/>
    <cellStyle name="Comma 29 2" xfId="152" xr:uid="{00000000-0005-0000-0000-000097000000}"/>
    <cellStyle name="Comma 3" xfId="153" xr:uid="{00000000-0005-0000-0000-000098000000}"/>
    <cellStyle name="Comma 3 2" xfId="154" xr:uid="{00000000-0005-0000-0000-000099000000}"/>
    <cellStyle name="Comma 3 2 2" xfId="155" xr:uid="{00000000-0005-0000-0000-00009A000000}"/>
    <cellStyle name="Comma 3 3" xfId="156" xr:uid="{00000000-0005-0000-0000-00009B000000}"/>
    <cellStyle name="Comma 3 3 2" xfId="157" xr:uid="{00000000-0005-0000-0000-00009C000000}"/>
    <cellStyle name="Comma 3 3 2 2" xfId="158" xr:uid="{00000000-0005-0000-0000-00009D000000}"/>
    <cellStyle name="Comma 3 3 2 3" xfId="159" xr:uid="{00000000-0005-0000-0000-00009E000000}"/>
    <cellStyle name="Comma 3 3 3" xfId="160" xr:uid="{00000000-0005-0000-0000-00009F000000}"/>
    <cellStyle name="Comma 3 3 3 2" xfId="161" xr:uid="{00000000-0005-0000-0000-0000A0000000}"/>
    <cellStyle name="Comma 3 3 3 2 2" xfId="162" xr:uid="{00000000-0005-0000-0000-0000A1000000}"/>
    <cellStyle name="Comma 3 3 3 2 3" xfId="163" xr:uid="{00000000-0005-0000-0000-0000A2000000}"/>
    <cellStyle name="Comma 3 3 3 2 4" xfId="164" xr:uid="{00000000-0005-0000-0000-0000A3000000}"/>
    <cellStyle name="Comma 3 3 3 3" xfId="165" xr:uid="{00000000-0005-0000-0000-0000A4000000}"/>
    <cellStyle name="Comma 3 3 4" xfId="166" xr:uid="{00000000-0005-0000-0000-0000A5000000}"/>
    <cellStyle name="Comma 3 3 5" xfId="167" xr:uid="{00000000-0005-0000-0000-0000A6000000}"/>
    <cellStyle name="Comma 3 3 5 2" xfId="168" xr:uid="{00000000-0005-0000-0000-0000A7000000}"/>
    <cellStyle name="Comma 3 3 5 3" xfId="169" xr:uid="{00000000-0005-0000-0000-0000A8000000}"/>
    <cellStyle name="Comma 3 3 5 4" xfId="170" xr:uid="{00000000-0005-0000-0000-0000A9000000}"/>
    <cellStyle name="Comma 3 4" xfId="171" xr:uid="{00000000-0005-0000-0000-0000AA000000}"/>
    <cellStyle name="Comma 3 4 2" xfId="172" xr:uid="{00000000-0005-0000-0000-0000AB000000}"/>
    <cellStyle name="Comma 3 4 3" xfId="173" xr:uid="{00000000-0005-0000-0000-0000AC000000}"/>
    <cellStyle name="Comma 3 4 4" xfId="174" xr:uid="{00000000-0005-0000-0000-0000AD000000}"/>
    <cellStyle name="Comma 3 4 4 2" xfId="175" xr:uid="{00000000-0005-0000-0000-0000AE000000}"/>
    <cellStyle name="Comma 3 4 4 3" xfId="176" xr:uid="{00000000-0005-0000-0000-0000AF000000}"/>
    <cellStyle name="Comma 3 4 4 4" xfId="177" xr:uid="{00000000-0005-0000-0000-0000B0000000}"/>
    <cellStyle name="Comma 3 4 5" xfId="178" xr:uid="{00000000-0005-0000-0000-0000B1000000}"/>
    <cellStyle name="Comma 3 5" xfId="179" xr:uid="{00000000-0005-0000-0000-0000B2000000}"/>
    <cellStyle name="Comma 3 5 2" xfId="180" xr:uid="{00000000-0005-0000-0000-0000B3000000}"/>
    <cellStyle name="Comma 3 6" xfId="181" xr:uid="{00000000-0005-0000-0000-0000B4000000}"/>
    <cellStyle name="Comma 3 7" xfId="182" xr:uid="{00000000-0005-0000-0000-0000B5000000}"/>
    <cellStyle name="Comma 3 8" xfId="183" xr:uid="{00000000-0005-0000-0000-0000B6000000}"/>
    <cellStyle name="Comma 30" xfId="184" xr:uid="{00000000-0005-0000-0000-0000B7000000}"/>
    <cellStyle name="Comma 31" xfId="185" xr:uid="{00000000-0005-0000-0000-0000B8000000}"/>
    <cellStyle name="Comma 32" xfId="186" xr:uid="{00000000-0005-0000-0000-0000B9000000}"/>
    <cellStyle name="Comma 33" xfId="187" xr:uid="{00000000-0005-0000-0000-0000BA000000}"/>
    <cellStyle name="Comma 34" xfId="188" xr:uid="{00000000-0005-0000-0000-0000BB000000}"/>
    <cellStyle name="Comma 35" xfId="189" xr:uid="{00000000-0005-0000-0000-0000BC000000}"/>
    <cellStyle name="Comma 36" xfId="190" xr:uid="{00000000-0005-0000-0000-0000BD000000}"/>
    <cellStyle name="Comma 37" xfId="191" xr:uid="{00000000-0005-0000-0000-0000BE000000}"/>
    <cellStyle name="Comma 38" xfId="192" xr:uid="{00000000-0005-0000-0000-0000BF000000}"/>
    <cellStyle name="Comma 39" xfId="193" xr:uid="{00000000-0005-0000-0000-0000C0000000}"/>
    <cellStyle name="Comma 4" xfId="194" xr:uid="{00000000-0005-0000-0000-0000C1000000}"/>
    <cellStyle name="Comma 4 2" xfId="195" xr:uid="{00000000-0005-0000-0000-0000C2000000}"/>
    <cellStyle name="Comma 4 2 2" xfId="196" xr:uid="{00000000-0005-0000-0000-0000C3000000}"/>
    <cellStyle name="Comma 4 2 2 2" xfId="197" xr:uid="{00000000-0005-0000-0000-0000C4000000}"/>
    <cellStyle name="Comma 4 2 2 3" xfId="198" xr:uid="{00000000-0005-0000-0000-0000C5000000}"/>
    <cellStyle name="Comma 4 2 2 4" xfId="199" xr:uid="{00000000-0005-0000-0000-0000C6000000}"/>
    <cellStyle name="Comma 4 2 3" xfId="200" xr:uid="{00000000-0005-0000-0000-0000C7000000}"/>
    <cellStyle name="Comma 4 2 3 2" xfId="201" xr:uid="{00000000-0005-0000-0000-0000C8000000}"/>
    <cellStyle name="Comma 4 2 3 2 2" xfId="202" xr:uid="{00000000-0005-0000-0000-0000C9000000}"/>
    <cellStyle name="Comma 4 2 3 3" xfId="203" xr:uid="{00000000-0005-0000-0000-0000CA000000}"/>
    <cellStyle name="Comma 4 2 3 3 2" xfId="204" xr:uid="{00000000-0005-0000-0000-0000CB000000}"/>
    <cellStyle name="Comma 4 2 3 4" xfId="205" xr:uid="{00000000-0005-0000-0000-0000CC000000}"/>
    <cellStyle name="Comma 4 2 4" xfId="206" xr:uid="{00000000-0005-0000-0000-0000CD000000}"/>
    <cellStyle name="Comma 4 2 4 2" xfId="207" xr:uid="{00000000-0005-0000-0000-0000CE000000}"/>
    <cellStyle name="Comma 4 2 4 3" xfId="208" xr:uid="{00000000-0005-0000-0000-0000CF000000}"/>
    <cellStyle name="Comma 4 2 4 4" xfId="209" xr:uid="{00000000-0005-0000-0000-0000D0000000}"/>
    <cellStyle name="Comma 4 2 5" xfId="210" xr:uid="{00000000-0005-0000-0000-0000D1000000}"/>
    <cellStyle name="Comma 4 3" xfId="211" xr:uid="{00000000-0005-0000-0000-0000D2000000}"/>
    <cellStyle name="Comma 4 3 2" xfId="212" xr:uid="{00000000-0005-0000-0000-0000D3000000}"/>
    <cellStyle name="Comma 4 3 2 2" xfId="213" xr:uid="{00000000-0005-0000-0000-0000D4000000}"/>
    <cellStyle name="Comma 4 3 2 2 2" xfId="214" xr:uid="{00000000-0005-0000-0000-0000D5000000}"/>
    <cellStyle name="Comma 4 3 2 3" xfId="215" xr:uid="{00000000-0005-0000-0000-0000D6000000}"/>
    <cellStyle name="Comma 4 3 2 3 2" xfId="216" xr:uid="{00000000-0005-0000-0000-0000D7000000}"/>
    <cellStyle name="Comma 4 3 2 4" xfId="217" xr:uid="{00000000-0005-0000-0000-0000D8000000}"/>
    <cellStyle name="Comma 4 3 3" xfId="218" xr:uid="{00000000-0005-0000-0000-0000D9000000}"/>
    <cellStyle name="Comma 4 3 4" xfId="219" xr:uid="{00000000-0005-0000-0000-0000DA000000}"/>
    <cellStyle name="Comma 4 3 4 2" xfId="220" xr:uid="{00000000-0005-0000-0000-0000DB000000}"/>
    <cellStyle name="Comma 4 3 4 3" xfId="221" xr:uid="{00000000-0005-0000-0000-0000DC000000}"/>
    <cellStyle name="Comma 4 3 5" xfId="222" xr:uid="{00000000-0005-0000-0000-0000DD000000}"/>
    <cellStyle name="Comma 4 3 5 2" xfId="223" xr:uid="{00000000-0005-0000-0000-0000DE000000}"/>
    <cellStyle name="Comma 4 3 6" xfId="224" xr:uid="{00000000-0005-0000-0000-0000DF000000}"/>
    <cellStyle name="Comma 4 3 6 2" xfId="225" xr:uid="{00000000-0005-0000-0000-0000E0000000}"/>
    <cellStyle name="Comma 4 4" xfId="226" xr:uid="{00000000-0005-0000-0000-0000E1000000}"/>
    <cellStyle name="Comma 4 4 2" xfId="227" xr:uid="{00000000-0005-0000-0000-0000E2000000}"/>
    <cellStyle name="Comma 4 4 3" xfId="228" xr:uid="{00000000-0005-0000-0000-0000E3000000}"/>
    <cellStyle name="Comma 4 4 4" xfId="229" xr:uid="{00000000-0005-0000-0000-0000E4000000}"/>
    <cellStyle name="Comma 4 5" xfId="230" xr:uid="{00000000-0005-0000-0000-0000E5000000}"/>
    <cellStyle name="Comma 4 5 2" xfId="231" xr:uid="{00000000-0005-0000-0000-0000E6000000}"/>
    <cellStyle name="Comma 4 6" xfId="232" xr:uid="{00000000-0005-0000-0000-0000E7000000}"/>
    <cellStyle name="Comma 40" xfId="233" xr:uid="{00000000-0005-0000-0000-0000E8000000}"/>
    <cellStyle name="Comma 41" xfId="234" xr:uid="{00000000-0005-0000-0000-0000E9000000}"/>
    <cellStyle name="Comma 42" xfId="235" xr:uid="{00000000-0005-0000-0000-0000EA000000}"/>
    <cellStyle name="Comma 43" xfId="236" xr:uid="{00000000-0005-0000-0000-0000EB000000}"/>
    <cellStyle name="Comma 44" xfId="237" xr:uid="{00000000-0005-0000-0000-0000EC000000}"/>
    <cellStyle name="Comma 45" xfId="238" xr:uid="{00000000-0005-0000-0000-0000ED000000}"/>
    <cellStyle name="Comma 46" xfId="239" xr:uid="{00000000-0005-0000-0000-0000EE000000}"/>
    <cellStyle name="Comma 47" xfId="240" xr:uid="{00000000-0005-0000-0000-0000EF000000}"/>
    <cellStyle name="Comma 48" xfId="241" xr:uid="{00000000-0005-0000-0000-0000F0000000}"/>
    <cellStyle name="Comma 49" xfId="242" xr:uid="{00000000-0005-0000-0000-0000F1000000}"/>
    <cellStyle name="Comma 5" xfId="243" xr:uid="{00000000-0005-0000-0000-0000F2000000}"/>
    <cellStyle name="Comma 5 2" xfId="244" xr:uid="{00000000-0005-0000-0000-0000F3000000}"/>
    <cellStyle name="Comma 5 2 2" xfId="245" xr:uid="{00000000-0005-0000-0000-0000F4000000}"/>
    <cellStyle name="Comma 5 2 3" xfId="246" xr:uid="{00000000-0005-0000-0000-0000F5000000}"/>
    <cellStyle name="Comma 5 3" xfId="247" xr:uid="{00000000-0005-0000-0000-0000F6000000}"/>
    <cellStyle name="Comma 50" xfId="248" xr:uid="{00000000-0005-0000-0000-0000F7000000}"/>
    <cellStyle name="Comma 51" xfId="249" xr:uid="{00000000-0005-0000-0000-0000F8000000}"/>
    <cellStyle name="Comma 52" xfId="250" xr:uid="{00000000-0005-0000-0000-0000F9000000}"/>
    <cellStyle name="Comma 52 2" xfId="251" xr:uid="{00000000-0005-0000-0000-0000FA000000}"/>
    <cellStyle name="Comma 53" xfId="252" xr:uid="{00000000-0005-0000-0000-0000FB000000}"/>
    <cellStyle name="Comma 54" xfId="253" xr:uid="{00000000-0005-0000-0000-0000FC000000}"/>
    <cellStyle name="Comma 55" xfId="254" xr:uid="{00000000-0005-0000-0000-0000FD000000}"/>
    <cellStyle name="Comma 56" xfId="255" xr:uid="{00000000-0005-0000-0000-0000FE000000}"/>
    <cellStyle name="Comma 57" xfId="256" xr:uid="{00000000-0005-0000-0000-0000FF000000}"/>
    <cellStyle name="Comma 57 2" xfId="257" xr:uid="{00000000-0005-0000-0000-000000010000}"/>
    <cellStyle name="Comma 57 3" xfId="258" xr:uid="{00000000-0005-0000-0000-000001010000}"/>
    <cellStyle name="Comma 57 4" xfId="259" xr:uid="{00000000-0005-0000-0000-000002010000}"/>
    <cellStyle name="Comma 58" xfId="260" xr:uid="{00000000-0005-0000-0000-000003010000}"/>
    <cellStyle name="Comma 58 2" xfId="261" xr:uid="{00000000-0005-0000-0000-000004010000}"/>
    <cellStyle name="Comma 58 3" xfId="262" xr:uid="{00000000-0005-0000-0000-000005010000}"/>
    <cellStyle name="Comma 58 4" xfId="263" xr:uid="{00000000-0005-0000-0000-000006010000}"/>
    <cellStyle name="Comma 59" xfId="264" xr:uid="{00000000-0005-0000-0000-000007010000}"/>
    <cellStyle name="Comma 59 2" xfId="265" xr:uid="{00000000-0005-0000-0000-000008010000}"/>
    <cellStyle name="Comma 59 3" xfId="266" xr:uid="{00000000-0005-0000-0000-000009010000}"/>
    <cellStyle name="Comma 59 4" xfId="267" xr:uid="{00000000-0005-0000-0000-00000A010000}"/>
    <cellStyle name="Comma 6" xfId="268" xr:uid="{00000000-0005-0000-0000-00000B010000}"/>
    <cellStyle name="Comma 6 2" xfId="269" xr:uid="{00000000-0005-0000-0000-00000C010000}"/>
    <cellStyle name="Comma 6 3" xfId="270" xr:uid="{00000000-0005-0000-0000-00000D010000}"/>
    <cellStyle name="Comma 6 4" xfId="271" xr:uid="{00000000-0005-0000-0000-00000E010000}"/>
    <cellStyle name="Comma 6 4 2" xfId="272" xr:uid="{00000000-0005-0000-0000-00000F010000}"/>
    <cellStyle name="Comma 6 4 3" xfId="273" xr:uid="{00000000-0005-0000-0000-000010010000}"/>
    <cellStyle name="Comma 6 4 4" xfId="274" xr:uid="{00000000-0005-0000-0000-000011010000}"/>
    <cellStyle name="Comma 6 5" xfId="275" xr:uid="{00000000-0005-0000-0000-000012010000}"/>
    <cellStyle name="Comma 60" xfId="276" xr:uid="{00000000-0005-0000-0000-000013010000}"/>
    <cellStyle name="Comma 60 2" xfId="277" xr:uid="{00000000-0005-0000-0000-000014010000}"/>
    <cellStyle name="Comma 60 3" xfId="278" xr:uid="{00000000-0005-0000-0000-000015010000}"/>
    <cellStyle name="Comma 60 4" xfId="279" xr:uid="{00000000-0005-0000-0000-000016010000}"/>
    <cellStyle name="Comma 61" xfId="280" xr:uid="{00000000-0005-0000-0000-000017010000}"/>
    <cellStyle name="Comma 61 2" xfId="281" xr:uid="{00000000-0005-0000-0000-000018010000}"/>
    <cellStyle name="Comma 61 3" xfId="282" xr:uid="{00000000-0005-0000-0000-000019010000}"/>
    <cellStyle name="Comma 61 4" xfId="283" xr:uid="{00000000-0005-0000-0000-00001A010000}"/>
    <cellStyle name="Comma 62" xfId="284" xr:uid="{00000000-0005-0000-0000-00001B010000}"/>
    <cellStyle name="Comma 62 2" xfId="285" xr:uid="{00000000-0005-0000-0000-00001C010000}"/>
    <cellStyle name="Comma 62 3" xfId="286" xr:uid="{00000000-0005-0000-0000-00001D010000}"/>
    <cellStyle name="Comma 63" xfId="287" xr:uid="{00000000-0005-0000-0000-00001E010000}"/>
    <cellStyle name="Comma 63 2" xfId="288" xr:uid="{00000000-0005-0000-0000-00001F010000}"/>
    <cellStyle name="Comma 63 3" xfId="289" xr:uid="{00000000-0005-0000-0000-000020010000}"/>
    <cellStyle name="Comma 64" xfId="290" xr:uid="{00000000-0005-0000-0000-000021010000}"/>
    <cellStyle name="Comma 64 2" xfId="291" xr:uid="{00000000-0005-0000-0000-000022010000}"/>
    <cellStyle name="Comma 64 3" xfId="292" xr:uid="{00000000-0005-0000-0000-000023010000}"/>
    <cellStyle name="Comma 65" xfId="293" xr:uid="{00000000-0005-0000-0000-000024010000}"/>
    <cellStyle name="Comma 65 2" xfId="294" xr:uid="{00000000-0005-0000-0000-000025010000}"/>
    <cellStyle name="Comma 65 3" xfId="295" xr:uid="{00000000-0005-0000-0000-000026010000}"/>
    <cellStyle name="Comma 66" xfId="296" xr:uid="{00000000-0005-0000-0000-000027010000}"/>
    <cellStyle name="Comma 66 2" xfId="297" xr:uid="{00000000-0005-0000-0000-000028010000}"/>
    <cellStyle name="Comma 66 3" xfId="298" xr:uid="{00000000-0005-0000-0000-000029010000}"/>
    <cellStyle name="Comma 67" xfId="299" xr:uid="{00000000-0005-0000-0000-00002A010000}"/>
    <cellStyle name="Comma 67 2" xfId="300" xr:uid="{00000000-0005-0000-0000-00002B010000}"/>
    <cellStyle name="Comma 67 3" xfId="301" xr:uid="{00000000-0005-0000-0000-00002C010000}"/>
    <cellStyle name="Comma 68" xfId="302" xr:uid="{00000000-0005-0000-0000-00002D010000}"/>
    <cellStyle name="Comma 68 2" xfId="303" xr:uid="{00000000-0005-0000-0000-00002E010000}"/>
    <cellStyle name="Comma 68 3" xfId="304" xr:uid="{00000000-0005-0000-0000-00002F010000}"/>
    <cellStyle name="Comma 69" xfId="305" xr:uid="{00000000-0005-0000-0000-000030010000}"/>
    <cellStyle name="Comma 69 2" xfId="306" xr:uid="{00000000-0005-0000-0000-000031010000}"/>
    <cellStyle name="Comma 7" xfId="307" xr:uid="{00000000-0005-0000-0000-000032010000}"/>
    <cellStyle name="Comma 7 2" xfId="308" xr:uid="{00000000-0005-0000-0000-000033010000}"/>
    <cellStyle name="Comma 70" xfId="309" xr:uid="{00000000-0005-0000-0000-000034010000}"/>
    <cellStyle name="Comma 70 2" xfId="310" xr:uid="{00000000-0005-0000-0000-000035010000}"/>
    <cellStyle name="Comma 71" xfId="311" xr:uid="{00000000-0005-0000-0000-000036010000}"/>
    <cellStyle name="Comma 71 2" xfId="312" xr:uid="{00000000-0005-0000-0000-000037010000}"/>
    <cellStyle name="Comma 72" xfId="313" xr:uid="{00000000-0005-0000-0000-000038010000}"/>
    <cellStyle name="Comma 73" xfId="314" xr:uid="{00000000-0005-0000-0000-000039010000}"/>
    <cellStyle name="Comma 74" xfId="315" xr:uid="{00000000-0005-0000-0000-00003A010000}"/>
    <cellStyle name="Comma 75" xfId="316" xr:uid="{00000000-0005-0000-0000-00003B010000}"/>
    <cellStyle name="Comma 76" xfId="317" xr:uid="{00000000-0005-0000-0000-00003C010000}"/>
    <cellStyle name="Comma 8" xfId="318" xr:uid="{00000000-0005-0000-0000-00003D010000}"/>
    <cellStyle name="Comma 9" xfId="319" xr:uid="{00000000-0005-0000-0000-00003E010000}"/>
    <cellStyle name="Comma0" xfId="320" xr:uid="{00000000-0005-0000-0000-00003F010000}"/>
    <cellStyle name="Comma0 2" xfId="321" xr:uid="{00000000-0005-0000-0000-000040010000}"/>
    <cellStyle name="Comma0 2 2" xfId="322" xr:uid="{00000000-0005-0000-0000-000041010000}"/>
    <cellStyle name="Comma0 2 3" xfId="323" xr:uid="{00000000-0005-0000-0000-000042010000}"/>
    <cellStyle name="Comma0 2 4" xfId="324" xr:uid="{00000000-0005-0000-0000-000043010000}"/>
    <cellStyle name="Comma0 2 5" xfId="325" xr:uid="{00000000-0005-0000-0000-000044010000}"/>
    <cellStyle name="Comma0 3" xfId="326" xr:uid="{00000000-0005-0000-0000-000045010000}"/>
    <cellStyle name="Currency" xfId="327" builtinId="4"/>
    <cellStyle name="Currency 2" xfId="328" xr:uid="{00000000-0005-0000-0000-000047010000}"/>
    <cellStyle name="Currency 2 2" xfId="329" xr:uid="{00000000-0005-0000-0000-000048010000}"/>
    <cellStyle name="Currency 2 2 2" xfId="330" xr:uid="{00000000-0005-0000-0000-000049010000}"/>
    <cellStyle name="Currency 2 3" xfId="331" xr:uid="{00000000-0005-0000-0000-00004A010000}"/>
    <cellStyle name="Currency 3" xfId="332" xr:uid="{00000000-0005-0000-0000-00004B010000}"/>
    <cellStyle name="Currency 3 2" xfId="333" xr:uid="{00000000-0005-0000-0000-00004C010000}"/>
    <cellStyle name="Currency 3 2 2" xfId="334" xr:uid="{00000000-0005-0000-0000-00004D010000}"/>
    <cellStyle name="Currency 3 3" xfId="335" xr:uid="{00000000-0005-0000-0000-00004E010000}"/>
    <cellStyle name="Currency 3 3 2" xfId="336" xr:uid="{00000000-0005-0000-0000-00004F010000}"/>
    <cellStyle name="Currency 3 3 2 2" xfId="337" xr:uid="{00000000-0005-0000-0000-000050010000}"/>
    <cellStyle name="Currency 3 3 2 3" xfId="338" xr:uid="{00000000-0005-0000-0000-000051010000}"/>
    <cellStyle name="Currency 3 3 3" xfId="339" xr:uid="{00000000-0005-0000-0000-000052010000}"/>
    <cellStyle name="Currency 3 3 3 2" xfId="340" xr:uid="{00000000-0005-0000-0000-000053010000}"/>
    <cellStyle name="Currency 3 3 3 2 2" xfId="341" xr:uid="{00000000-0005-0000-0000-000054010000}"/>
    <cellStyle name="Currency 3 3 3 2 3" xfId="342" xr:uid="{00000000-0005-0000-0000-000055010000}"/>
    <cellStyle name="Currency 3 3 3 2 4" xfId="343" xr:uid="{00000000-0005-0000-0000-000056010000}"/>
    <cellStyle name="Currency 3 3 3 3" xfId="344" xr:uid="{00000000-0005-0000-0000-000057010000}"/>
    <cellStyle name="Currency 3 3 4" xfId="345" xr:uid="{00000000-0005-0000-0000-000058010000}"/>
    <cellStyle name="Currency 3 3 5" xfId="346" xr:uid="{00000000-0005-0000-0000-000059010000}"/>
    <cellStyle name="Currency 3 3 5 2" xfId="347" xr:uid="{00000000-0005-0000-0000-00005A010000}"/>
    <cellStyle name="Currency 3 3 5 3" xfId="348" xr:uid="{00000000-0005-0000-0000-00005B010000}"/>
    <cellStyle name="Currency 3 3 5 4" xfId="349" xr:uid="{00000000-0005-0000-0000-00005C010000}"/>
    <cellStyle name="Currency 3 4" xfId="350" xr:uid="{00000000-0005-0000-0000-00005D010000}"/>
    <cellStyle name="Currency 3 4 2" xfId="351" xr:uid="{00000000-0005-0000-0000-00005E010000}"/>
    <cellStyle name="Currency 3 4 3" xfId="352" xr:uid="{00000000-0005-0000-0000-00005F010000}"/>
    <cellStyle name="Currency 3 4 4" xfId="353" xr:uid="{00000000-0005-0000-0000-000060010000}"/>
    <cellStyle name="Currency 3 4 4 2" xfId="354" xr:uid="{00000000-0005-0000-0000-000061010000}"/>
    <cellStyle name="Currency 3 4 4 3" xfId="355" xr:uid="{00000000-0005-0000-0000-000062010000}"/>
    <cellStyle name="Currency 3 4 4 4" xfId="356" xr:uid="{00000000-0005-0000-0000-000063010000}"/>
    <cellStyle name="Currency 3 4 5" xfId="357" xr:uid="{00000000-0005-0000-0000-000064010000}"/>
    <cellStyle name="Currency 3 5" xfId="358" xr:uid="{00000000-0005-0000-0000-000065010000}"/>
    <cellStyle name="Currency 3 5 2" xfId="359" xr:uid="{00000000-0005-0000-0000-000066010000}"/>
    <cellStyle name="Currency 3 6" xfId="360" xr:uid="{00000000-0005-0000-0000-000067010000}"/>
    <cellStyle name="Currency 3 7" xfId="361" xr:uid="{00000000-0005-0000-0000-000068010000}"/>
    <cellStyle name="Currency 3 8" xfId="362" xr:uid="{00000000-0005-0000-0000-000069010000}"/>
    <cellStyle name="Currency 4" xfId="363" xr:uid="{00000000-0005-0000-0000-00006A010000}"/>
    <cellStyle name="Currency 4 10" xfId="364" xr:uid="{00000000-0005-0000-0000-00006B010000}"/>
    <cellStyle name="Currency 4 10 2" xfId="365" xr:uid="{00000000-0005-0000-0000-00006C010000}"/>
    <cellStyle name="Currency 4 10 2 2" xfId="366" xr:uid="{00000000-0005-0000-0000-00006D010000}"/>
    <cellStyle name="Currency 4 10 2 2 2" xfId="367" xr:uid="{00000000-0005-0000-0000-00006E010000}"/>
    <cellStyle name="Currency 4 10 2 3" xfId="368" xr:uid="{00000000-0005-0000-0000-00006F010000}"/>
    <cellStyle name="Currency 4 10 2 3 2" xfId="369" xr:uid="{00000000-0005-0000-0000-000070010000}"/>
    <cellStyle name="Currency 4 10 2 4" xfId="370" xr:uid="{00000000-0005-0000-0000-000071010000}"/>
    <cellStyle name="Currency 4 10 3" xfId="371" xr:uid="{00000000-0005-0000-0000-000072010000}"/>
    <cellStyle name="Currency 4 10 3 2" xfId="372" xr:uid="{00000000-0005-0000-0000-000073010000}"/>
    <cellStyle name="Currency 4 10 4" xfId="373" xr:uid="{00000000-0005-0000-0000-000074010000}"/>
    <cellStyle name="Currency 4 10 4 2" xfId="374" xr:uid="{00000000-0005-0000-0000-000075010000}"/>
    <cellStyle name="Currency 4 10 4 3" xfId="375" xr:uid="{00000000-0005-0000-0000-000076010000}"/>
    <cellStyle name="Currency 4 10 5" xfId="376" xr:uid="{00000000-0005-0000-0000-000077010000}"/>
    <cellStyle name="Currency 4 10 5 2" xfId="377" xr:uid="{00000000-0005-0000-0000-000078010000}"/>
    <cellStyle name="Currency 4 2" xfId="378" xr:uid="{00000000-0005-0000-0000-000079010000}"/>
    <cellStyle name="Currency 4 2 2" xfId="379" xr:uid="{00000000-0005-0000-0000-00007A010000}"/>
    <cellStyle name="Currency 4 2 3" xfId="380" xr:uid="{00000000-0005-0000-0000-00007B010000}"/>
    <cellStyle name="Currency 4 3" xfId="381" xr:uid="{00000000-0005-0000-0000-00007C010000}"/>
    <cellStyle name="Currency 4 3 2" xfId="382" xr:uid="{00000000-0005-0000-0000-00007D010000}"/>
    <cellStyle name="Currency 4 3 2 2" xfId="383" xr:uid="{00000000-0005-0000-0000-00007E010000}"/>
    <cellStyle name="Currency 4 3 2 3" xfId="384" xr:uid="{00000000-0005-0000-0000-00007F010000}"/>
    <cellStyle name="Currency 4 3 2 4" xfId="385" xr:uid="{00000000-0005-0000-0000-000080010000}"/>
    <cellStyle name="Currency 4 3 3" xfId="386" xr:uid="{00000000-0005-0000-0000-000081010000}"/>
    <cellStyle name="Currency 4 4" xfId="387" xr:uid="{00000000-0005-0000-0000-000082010000}"/>
    <cellStyle name="Currency 4 5" xfId="388" xr:uid="{00000000-0005-0000-0000-000083010000}"/>
    <cellStyle name="Currency 4 5 2" xfId="389" xr:uid="{00000000-0005-0000-0000-000084010000}"/>
    <cellStyle name="Currency 4 5 3" xfId="390" xr:uid="{00000000-0005-0000-0000-000085010000}"/>
    <cellStyle name="Currency 4 5 4" xfId="391" xr:uid="{00000000-0005-0000-0000-000086010000}"/>
    <cellStyle name="Currency 5" xfId="392" xr:uid="{00000000-0005-0000-0000-000087010000}"/>
    <cellStyle name="Currency 5 2" xfId="393" xr:uid="{00000000-0005-0000-0000-000088010000}"/>
    <cellStyle name="Currency 5 3" xfId="394" xr:uid="{00000000-0005-0000-0000-000089010000}"/>
    <cellStyle name="Currency 5 4" xfId="395" xr:uid="{00000000-0005-0000-0000-00008A010000}"/>
    <cellStyle name="Currency 5 4 2" xfId="396" xr:uid="{00000000-0005-0000-0000-00008B010000}"/>
    <cellStyle name="Currency 5 4 3" xfId="397" xr:uid="{00000000-0005-0000-0000-00008C010000}"/>
    <cellStyle name="Currency 5 4 4" xfId="398" xr:uid="{00000000-0005-0000-0000-00008D010000}"/>
    <cellStyle name="Currency 5 5" xfId="399" xr:uid="{00000000-0005-0000-0000-00008E010000}"/>
    <cellStyle name="Currency 6" xfId="400" xr:uid="{00000000-0005-0000-0000-00008F010000}"/>
    <cellStyle name="Currency 6 2" xfId="401" xr:uid="{00000000-0005-0000-0000-000090010000}"/>
    <cellStyle name="Currency 6 3" xfId="402" xr:uid="{00000000-0005-0000-0000-000091010000}"/>
    <cellStyle name="Currency 6 3 2" xfId="403" xr:uid="{00000000-0005-0000-0000-000092010000}"/>
    <cellStyle name="Currency 6 3 3" xfId="404" xr:uid="{00000000-0005-0000-0000-000093010000}"/>
    <cellStyle name="Currency 6 3 4" xfId="405" xr:uid="{00000000-0005-0000-0000-000094010000}"/>
    <cellStyle name="Currency 7" xfId="406" xr:uid="{00000000-0005-0000-0000-000095010000}"/>
    <cellStyle name="Currency 8" xfId="407" xr:uid="{00000000-0005-0000-0000-000096010000}"/>
    <cellStyle name="Currency 9" xfId="408" xr:uid="{00000000-0005-0000-0000-000097010000}"/>
    <cellStyle name="Currency0" xfId="409" xr:uid="{00000000-0005-0000-0000-000098010000}"/>
    <cellStyle name="Currency0 2" xfId="410" xr:uid="{00000000-0005-0000-0000-000099010000}"/>
    <cellStyle name="Currency0 2 2" xfId="411" xr:uid="{00000000-0005-0000-0000-00009A010000}"/>
    <cellStyle name="Currency0 2 3" xfId="412" xr:uid="{00000000-0005-0000-0000-00009B010000}"/>
    <cellStyle name="Currency0 2 4" xfId="413" xr:uid="{00000000-0005-0000-0000-00009C010000}"/>
    <cellStyle name="Currency0 2 5" xfId="414" xr:uid="{00000000-0005-0000-0000-00009D010000}"/>
    <cellStyle name="Currency0 3" xfId="415" xr:uid="{00000000-0005-0000-0000-00009E010000}"/>
    <cellStyle name="Date" xfId="416" xr:uid="{00000000-0005-0000-0000-00009F010000}"/>
    <cellStyle name="Date 2" xfId="417" xr:uid="{00000000-0005-0000-0000-0000A0010000}"/>
    <cellStyle name="Date 2 2" xfId="418" xr:uid="{00000000-0005-0000-0000-0000A1010000}"/>
    <cellStyle name="Date 2 3" xfId="419" xr:uid="{00000000-0005-0000-0000-0000A2010000}"/>
    <cellStyle name="Date 2 4" xfId="420" xr:uid="{00000000-0005-0000-0000-0000A3010000}"/>
    <cellStyle name="Date 2 5" xfId="421" xr:uid="{00000000-0005-0000-0000-0000A4010000}"/>
    <cellStyle name="Date 3" xfId="422" xr:uid="{00000000-0005-0000-0000-0000A5010000}"/>
    <cellStyle name="Explanatory Text" xfId="423" builtinId="53" customBuiltin="1"/>
    <cellStyle name="Explanatory Text 2" xfId="424" xr:uid="{00000000-0005-0000-0000-0000A7010000}"/>
    <cellStyle name="Explanatory Text 2 2" xfId="425" xr:uid="{00000000-0005-0000-0000-0000A8010000}"/>
    <cellStyle name="Fixed" xfId="426" xr:uid="{00000000-0005-0000-0000-0000A9010000}"/>
    <cellStyle name="Fixed 2" xfId="427" xr:uid="{00000000-0005-0000-0000-0000AA010000}"/>
    <cellStyle name="Fixed 2 2" xfId="428" xr:uid="{00000000-0005-0000-0000-0000AB010000}"/>
    <cellStyle name="Fixed 2 3" xfId="429" xr:uid="{00000000-0005-0000-0000-0000AC010000}"/>
    <cellStyle name="Fixed 2 4" xfId="430" xr:uid="{00000000-0005-0000-0000-0000AD010000}"/>
    <cellStyle name="Fixed 2 5" xfId="431" xr:uid="{00000000-0005-0000-0000-0000AE010000}"/>
    <cellStyle name="Fixed 3" xfId="432" xr:uid="{00000000-0005-0000-0000-0000AF010000}"/>
    <cellStyle name="Good" xfId="433" builtinId="26" customBuiltin="1"/>
    <cellStyle name="Good 2" xfId="434" xr:uid="{00000000-0005-0000-0000-0000B1010000}"/>
    <cellStyle name="Good 2 2" xfId="435" xr:uid="{00000000-0005-0000-0000-0000B2010000}"/>
    <cellStyle name="Heading 1" xfId="436" builtinId="16" customBuiltin="1"/>
    <cellStyle name="Heading 1 2" xfId="437" xr:uid="{00000000-0005-0000-0000-0000B4010000}"/>
    <cellStyle name="Heading 1 2 2" xfId="438" xr:uid="{00000000-0005-0000-0000-0000B5010000}"/>
    <cellStyle name="Heading 1 3" xfId="439" xr:uid="{00000000-0005-0000-0000-0000B6010000}"/>
    <cellStyle name="Heading 1 3 2" xfId="440" xr:uid="{00000000-0005-0000-0000-0000B7010000}"/>
    <cellStyle name="Heading 2" xfId="441" builtinId="17" customBuiltin="1"/>
    <cellStyle name="Heading 2 2" xfId="442" xr:uid="{00000000-0005-0000-0000-0000B9010000}"/>
    <cellStyle name="Heading 2 2 2" xfId="443" xr:uid="{00000000-0005-0000-0000-0000BA010000}"/>
    <cellStyle name="Heading 2 3" xfId="444" xr:uid="{00000000-0005-0000-0000-0000BB010000}"/>
    <cellStyle name="Heading 2 3 2" xfId="445" xr:uid="{00000000-0005-0000-0000-0000BC010000}"/>
    <cellStyle name="Heading 3" xfId="446" builtinId="18" customBuiltin="1"/>
    <cellStyle name="Heading 3 2" xfId="447" xr:uid="{00000000-0005-0000-0000-0000BE010000}"/>
    <cellStyle name="Heading 3 2 2" xfId="448" xr:uid="{00000000-0005-0000-0000-0000BF010000}"/>
    <cellStyle name="Heading 4" xfId="449" builtinId="19" customBuiltin="1"/>
    <cellStyle name="Heading 4 2" xfId="450" xr:uid="{00000000-0005-0000-0000-0000C1010000}"/>
    <cellStyle name="Heading 4 2 2" xfId="451" xr:uid="{00000000-0005-0000-0000-0000C2010000}"/>
    <cellStyle name="Heading1" xfId="452" xr:uid="{00000000-0005-0000-0000-0000C3010000}"/>
    <cellStyle name="Heading2" xfId="453" xr:uid="{00000000-0005-0000-0000-0000C4010000}"/>
    <cellStyle name="Input" xfId="454" builtinId="20" customBuiltin="1"/>
    <cellStyle name="Input 2" xfId="455" xr:uid="{00000000-0005-0000-0000-0000C6010000}"/>
    <cellStyle name="Input 2 2" xfId="456" xr:uid="{00000000-0005-0000-0000-0000C7010000}"/>
    <cellStyle name="Linked Cell" xfId="457" builtinId="24" customBuiltin="1"/>
    <cellStyle name="Linked Cell 2" xfId="458" xr:uid="{00000000-0005-0000-0000-0000C9010000}"/>
    <cellStyle name="Linked Cell 2 2" xfId="459" xr:uid="{00000000-0005-0000-0000-0000CA010000}"/>
    <cellStyle name="M" xfId="460" xr:uid="{00000000-0005-0000-0000-0000CB010000}"/>
    <cellStyle name="M 2" xfId="461" xr:uid="{00000000-0005-0000-0000-0000CC010000}"/>
    <cellStyle name="M 2 2" xfId="462" xr:uid="{00000000-0005-0000-0000-0000CD010000}"/>
    <cellStyle name="M 2 2 2" xfId="463" xr:uid="{00000000-0005-0000-0000-0000CE010000}"/>
    <cellStyle name="M 3" xfId="464" xr:uid="{00000000-0005-0000-0000-0000CF010000}"/>
    <cellStyle name="M 3 2" xfId="465" xr:uid="{00000000-0005-0000-0000-0000D0010000}"/>
    <cellStyle name="M 3 2 2" xfId="466" xr:uid="{00000000-0005-0000-0000-0000D1010000}"/>
    <cellStyle name="M 4" xfId="467" xr:uid="{00000000-0005-0000-0000-0000D2010000}"/>
    <cellStyle name="M 5" xfId="468" xr:uid="{00000000-0005-0000-0000-0000D3010000}"/>
    <cellStyle name="M 5 2" xfId="469" xr:uid="{00000000-0005-0000-0000-0000D4010000}"/>
    <cellStyle name="M 6" xfId="470" xr:uid="{00000000-0005-0000-0000-0000D5010000}"/>
    <cellStyle name="M 6 2" xfId="471" xr:uid="{00000000-0005-0000-0000-0000D6010000}"/>
    <cellStyle name="M 7" xfId="472" xr:uid="{00000000-0005-0000-0000-0000D7010000}"/>
    <cellStyle name="Neutral" xfId="473" builtinId="28" customBuiltin="1"/>
    <cellStyle name="Neutral 2" xfId="474" xr:uid="{00000000-0005-0000-0000-0000D9010000}"/>
    <cellStyle name="Neutral 2 2" xfId="475" xr:uid="{00000000-0005-0000-0000-0000DA010000}"/>
    <cellStyle name="Normal" xfId="0" builtinId="0"/>
    <cellStyle name="Normal 10" xfId="476" xr:uid="{00000000-0005-0000-0000-0000DC010000}"/>
    <cellStyle name="Normal 10 2" xfId="477" xr:uid="{00000000-0005-0000-0000-0000DD010000}"/>
    <cellStyle name="Normal 11" xfId="478" xr:uid="{00000000-0005-0000-0000-0000DE010000}"/>
    <cellStyle name="Normal 11 2" xfId="479" xr:uid="{00000000-0005-0000-0000-0000DF010000}"/>
    <cellStyle name="Normal 11 3" xfId="480" xr:uid="{00000000-0005-0000-0000-0000E0010000}"/>
    <cellStyle name="Normal 12" xfId="481" xr:uid="{00000000-0005-0000-0000-0000E1010000}"/>
    <cellStyle name="Normal 12 2" xfId="482" xr:uid="{00000000-0005-0000-0000-0000E2010000}"/>
    <cellStyle name="Normal 12 3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2 3" xfId="487" xr:uid="{00000000-0005-0000-0000-0000E7010000}"/>
    <cellStyle name="Normal 2 2 4" xfId="488" xr:uid="{00000000-0005-0000-0000-0000E8010000}"/>
    <cellStyle name="Normal 3" xfId="489" xr:uid="{00000000-0005-0000-0000-0000E9010000}"/>
    <cellStyle name="Normal 3 2" xfId="490" xr:uid="{00000000-0005-0000-0000-0000EA010000}"/>
    <cellStyle name="Normal 3 2 2" xfId="491" xr:uid="{00000000-0005-0000-0000-0000EB010000}"/>
    <cellStyle name="Normal 3 3" xfId="492" xr:uid="{00000000-0005-0000-0000-0000EC010000}"/>
    <cellStyle name="Normal 3 3 2" xfId="493" xr:uid="{00000000-0005-0000-0000-0000ED010000}"/>
    <cellStyle name="Normal 3 3 3" xfId="494" xr:uid="{00000000-0005-0000-0000-0000EE010000}"/>
    <cellStyle name="Normal 3 3 4" xfId="495" xr:uid="{00000000-0005-0000-0000-0000EF010000}"/>
    <cellStyle name="Normal 3_OPCo Period I PJM  Formula Rate" xfId="496" xr:uid="{00000000-0005-0000-0000-0000F0010000}"/>
    <cellStyle name="Normal 35" xfId="497" xr:uid="{00000000-0005-0000-0000-0000F1010000}"/>
    <cellStyle name="Normal 4" xfId="498" xr:uid="{00000000-0005-0000-0000-0000F2010000}"/>
    <cellStyle name="Normal 4 2" xfId="499" xr:uid="{00000000-0005-0000-0000-0000F3010000}"/>
    <cellStyle name="Normal 4 2 2" xfId="500" xr:uid="{00000000-0005-0000-0000-0000F4010000}"/>
    <cellStyle name="Normal 4 3" xfId="501" xr:uid="{00000000-0005-0000-0000-0000F5010000}"/>
    <cellStyle name="Normal 4 3 2" xfId="502" xr:uid="{00000000-0005-0000-0000-0000F6010000}"/>
    <cellStyle name="Normal 4 3 2 2" xfId="503" xr:uid="{00000000-0005-0000-0000-0000F7010000}"/>
    <cellStyle name="Normal 4 3 2 3" xfId="504" xr:uid="{00000000-0005-0000-0000-0000F8010000}"/>
    <cellStyle name="Normal 4 3 3" xfId="505" xr:uid="{00000000-0005-0000-0000-0000F9010000}"/>
    <cellStyle name="Normal 4 3 3 2" xfId="506" xr:uid="{00000000-0005-0000-0000-0000FA010000}"/>
    <cellStyle name="Normal 4 3 3 2 2" xfId="507" xr:uid="{00000000-0005-0000-0000-0000FB010000}"/>
    <cellStyle name="Normal 4 3 3 2 3" xfId="508" xr:uid="{00000000-0005-0000-0000-0000FC010000}"/>
    <cellStyle name="Normal 4 3 3 2 4" xfId="509" xr:uid="{00000000-0005-0000-0000-0000FD010000}"/>
    <cellStyle name="Normal 4 3 3 3" xfId="510" xr:uid="{00000000-0005-0000-0000-0000FE010000}"/>
    <cellStyle name="Normal 4 3 4" xfId="511" xr:uid="{00000000-0005-0000-0000-0000FF010000}"/>
    <cellStyle name="Normal 4 3 5" xfId="512" xr:uid="{00000000-0005-0000-0000-000000020000}"/>
    <cellStyle name="Normal 4 3 5 2" xfId="513" xr:uid="{00000000-0005-0000-0000-000001020000}"/>
    <cellStyle name="Normal 4 3 5 3" xfId="514" xr:uid="{00000000-0005-0000-0000-000002020000}"/>
    <cellStyle name="Normal 4 3 5 4" xfId="515" xr:uid="{00000000-0005-0000-0000-000003020000}"/>
    <cellStyle name="Normal 4 4" xfId="516" xr:uid="{00000000-0005-0000-0000-000004020000}"/>
    <cellStyle name="Normal 4 4 2" xfId="517" xr:uid="{00000000-0005-0000-0000-000005020000}"/>
    <cellStyle name="Normal 4 4 3" xfId="518" xr:uid="{00000000-0005-0000-0000-000006020000}"/>
    <cellStyle name="Normal 4 4 4" xfId="519" xr:uid="{00000000-0005-0000-0000-000007020000}"/>
    <cellStyle name="Normal 4 4 4 2" xfId="520" xr:uid="{00000000-0005-0000-0000-000008020000}"/>
    <cellStyle name="Normal 4 4 4 3" xfId="521" xr:uid="{00000000-0005-0000-0000-000009020000}"/>
    <cellStyle name="Normal 4 4 4 4" xfId="522" xr:uid="{00000000-0005-0000-0000-00000A020000}"/>
    <cellStyle name="Normal 4 4 5" xfId="523" xr:uid="{00000000-0005-0000-0000-00000B020000}"/>
    <cellStyle name="Normal 4 5" xfId="524" xr:uid="{00000000-0005-0000-0000-00000C020000}"/>
    <cellStyle name="Normal 4 5 2" xfId="525" xr:uid="{00000000-0005-0000-0000-00000D020000}"/>
    <cellStyle name="Normal 4 5 2 2" xfId="526" xr:uid="{00000000-0005-0000-0000-00000E020000}"/>
    <cellStyle name="Normal 4 5 2 2 2" xfId="527" xr:uid="{00000000-0005-0000-0000-00000F020000}"/>
    <cellStyle name="Normal 4 5 2 2 3" xfId="528" xr:uid="{00000000-0005-0000-0000-000010020000}"/>
    <cellStyle name="Normal 4 5 2 2 4" xfId="529" xr:uid="{00000000-0005-0000-0000-000011020000}"/>
    <cellStyle name="Normal 4 5 3" xfId="530" xr:uid="{00000000-0005-0000-0000-000012020000}"/>
    <cellStyle name="Normal 4 6" xfId="531" xr:uid="{00000000-0005-0000-0000-000013020000}"/>
    <cellStyle name="Normal 4 7" xfId="532" xr:uid="{00000000-0005-0000-0000-000014020000}"/>
    <cellStyle name="Normal 4 8" xfId="533" xr:uid="{00000000-0005-0000-0000-000015020000}"/>
    <cellStyle name="Normal 4_PBOP Exhibit 1" xfId="534" xr:uid="{00000000-0005-0000-0000-000016020000}"/>
    <cellStyle name="Normal 5" xfId="535" xr:uid="{00000000-0005-0000-0000-000017020000}"/>
    <cellStyle name="Normal 5 2" xfId="536" xr:uid="{00000000-0005-0000-0000-000018020000}"/>
    <cellStyle name="Normal 5 2 2" xfId="537" xr:uid="{00000000-0005-0000-0000-000019020000}"/>
    <cellStyle name="Normal 5 2 3" xfId="538" xr:uid="{00000000-0005-0000-0000-00001A020000}"/>
    <cellStyle name="Normal 5 2 4" xfId="539" xr:uid="{00000000-0005-0000-0000-00001B020000}"/>
    <cellStyle name="Normal 6" xfId="540" xr:uid="{00000000-0005-0000-0000-00001C020000}"/>
    <cellStyle name="Normal 6 2" xfId="541" xr:uid="{00000000-0005-0000-0000-00001D020000}"/>
    <cellStyle name="Normal 7" xfId="542" xr:uid="{00000000-0005-0000-0000-00001E020000}"/>
    <cellStyle name="Normal 7 2" xfId="543" xr:uid="{00000000-0005-0000-0000-00001F020000}"/>
    <cellStyle name="Normal 7 3" xfId="544" xr:uid="{00000000-0005-0000-0000-000020020000}"/>
    <cellStyle name="Normal 8" xfId="545" xr:uid="{00000000-0005-0000-0000-000021020000}"/>
    <cellStyle name="Normal 8 2" xfId="546" xr:uid="{00000000-0005-0000-0000-000022020000}"/>
    <cellStyle name="Normal 9" xfId="547" xr:uid="{00000000-0005-0000-0000-000023020000}"/>
    <cellStyle name="Normal 9 2" xfId="548" xr:uid="{00000000-0005-0000-0000-000024020000}"/>
    <cellStyle name="Normal_FN1 Ratebase Draft SPP template (6-11-04) v2" xfId="549" xr:uid="{00000000-0005-0000-0000-000025020000}"/>
    <cellStyle name="Note" xfId="550" builtinId="10" customBuiltin="1"/>
    <cellStyle name="Note 2" xfId="551" xr:uid="{00000000-0005-0000-0000-000027020000}"/>
    <cellStyle name="Note 2 2" xfId="552" xr:uid="{00000000-0005-0000-0000-000028020000}"/>
    <cellStyle name="Note 2 2 2" xfId="553" xr:uid="{00000000-0005-0000-0000-000029020000}"/>
    <cellStyle name="Note 2 2 3" xfId="554" xr:uid="{00000000-0005-0000-0000-00002A020000}"/>
    <cellStyle name="Note 2 2 4" xfId="555" xr:uid="{00000000-0005-0000-0000-00002B020000}"/>
    <cellStyle name="Output" xfId="556" builtinId="21" customBuiltin="1"/>
    <cellStyle name="Output 2" xfId="557" xr:uid="{00000000-0005-0000-0000-00002D020000}"/>
    <cellStyle name="Output 2 2" xfId="558" xr:uid="{00000000-0005-0000-0000-00002E020000}"/>
    <cellStyle name="Percent" xfId="559" builtinId="5"/>
    <cellStyle name="Percent 10" xfId="560" xr:uid="{00000000-0005-0000-0000-000030020000}"/>
    <cellStyle name="Percent 2" xfId="561" xr:uid="{00000000-0005-0000-0000-000031020000}"/>
    <cellStyle name="Percent 2 2" xfId="562" xr:uid="{00000000-0005-0000-0000-000032020000}"/>
    <cellStyle name="Percent 2 2 2" xfId="563" xr:uid="{00000000-0005-0000-0000-000033020000}"/>
    <cellStyle name="Percent 2 3" xfId="564" xr:uid="{00000000-0005-0000-0000-000034020000}"/>
    <cellStyle name="Percent 3" xfId="565" xr:uid="{00000000-0005-0000-0000-000035020000}"/>
    <cellStyle name="Percent 3 2" xfId="566" xr:uid="{00000000-0005-0000-0000-000036020000}"/>
    <cellStyle name="Percent 3 2 2" xfId="567" xr:uid="{00000000-0005-0000-0000-000037020000}"/>
    <cellStyle name="Percent 3 3" xfId="568" xr:uid="{00000000-0005-0000-0000-000038020000}"/>
    <cellStyle name="Percent 3 3 2" xfId="569" xr:uid="{00000000-0005-0000-0000-000039020000}"/>
    <cellStyle name="Percent 3 3 2 2" xfId="570" xr:uid="{00000000-0005-0000-0000-00003A020000}"/>
    <cellStyle name="Percent 3 3 2 3" xfId="571" xr:uid="{00000000-0005-0000-0000-00003B020000}"/>
    <cellStyle name="Percent 3 3 3" xfId="572" xr:uid="{00000000-0005-0000-0000-00003C020000}"/>
    <cellStyle name="Percent 3 3 3 2" xfId="573" xr:uid="{00000000-0005-0000-0000-00003D020000}"/>
    <cellStyle name="Percent 3 3 3 2 2" xfId="574" xr:uid="{00000000-0005-0000-0000-00003E020000}"/>
    <cellStyle name="Percent 3 3 3 2 3" xfId="575" xr:uid="{00000000-0005-0000-0000-00003F020000}"/>
    <cellStyle name="Percent 3 3 3 2 4" xfId="576" xr:uid="{00000000-0005-0000-0000-000040020000}"/>
    <cellStyle name="Percent 3 3 3 3" xfId="577" xr:uid="{00000000-0005-0000-0000-000041020000}"/>
    <cellStyle name="Percent 3 3 4" xfId="578" xr:uid="{00000000-0005-0000-0000-000042020000}"/>
    <cellStyle name="Percent 3 3 5" xfId="579" xr:uid="{00000000-0005-0000-0000-000043020000}"/>
    <cellStyle name="Percent 3 3 5 2" xfId="580" xr:uid="{00000000-0005-0000-0000-000044020000}"/>
    <cellStyle name="Percent 3 3 5 3" xfId="581" xr:uid="{00000000-0005-0000-0000-000045020000}"/>
    <cellStyle name="Percent 3 3 5 4" xfId="582" xr:uid="{00000000-0005-0000-0000-000046020000}"/>
    <cellStyle name="Percent 3 4" xfId="583" xr:uid="{00000000-0005-0000-0000-000047020000}"/>
    <cellStyle name="Percent 3 4 2" xfId="584" xr:uid="{00000000-0005-0000-0000-000048020000}"/>
    <cellStyle name="Percent 3 4 3" xfId="585" xr:uid="{00000000-0005-0000-0000-000049020000}"/>
    <cellStyle name="Percent 3 4 4" xfId="586" xr:uid="{00000000-0005-0000-0000-00004A020000}"/>
    <cellStyle name="Percent 3 4 4 2" xfId="587" xr:uid="{00000000-0005-0000-0000-00004B020000}"/>
    <cellStyle name="Percent 3 4 4 3" xfId="588" xr:uid="{00000000-0005-0000-0000-00004C020000}"/>
    <cellStyle name="Percent 3 4 4 4" xfId="589" xr:uid="{00000000-0005-0000-0000-00004D020000}"/>
    <cellStyle name="Percent 3 4 5" xfId="590" xr:uid="{00000000-0005-0000-0000-00004E020000}"/>
    <cellStyle name="Percent 3 5" xfId="591" xr:uid="{00000000-0005-0000-0000-00004F020000}"/>
    <cellStyle name="Percent 3 5 2" xfId="592" xr:uid="{00000000-0005-0000-0000-000050020000}"/>
    <cellStyle name="Percent 3 6" xfId="593" xr:uid="{00000000-0005-0000-0000-000051020000}"/>
    <cellStyle name="Percent 3 7" xfId="594" xr:uid="{00000000-0005-0000-0000-000052020000}"/>
    <cellStyle name="Percent 3 8" xfId="595" xr:uid="{00000000-0005-0000-0000-000053020000}"/>
    <cellStyle name="Percent 4" xfId="596" xr:uid="{00000000-0005-0000-0000-000054020000}"/>
    <cellStyle name="Percent 4 2" xfId="597" xr:uid="{00000000-0005-0000-0000-000055020000}"/>
    <cellStyle name="Percent 4 2 2" xfId="598" xr:uid="{00000000-0005-0000-0000-000056020000}"/>
    <cellStyle name="Percent 4 2 3" xfId="599" xr:uid="{00000000-0005-0000-0000-000057020000}"/>
    <cellStyle name="Percent 4 3" xfId="600" xr:uid="{00000000-0005-0000-0000-000058020000}"/>
    <cellStyle name="Percent 4 3 2" xfId="601" xr:uid="{00000000-0005-0000-0000-000059020000}"/>
    <cellStyle name="Percent 4 3 2 2" xfId="602" xr:uid="{00000000-0005-0000-0000-00005A020000}"/>
    <cellStyle name="Percent 4 3 2 3" xfId="603" xr:uid="{00000000-0005-0000-0000-00005B020000}"/>
    <cellStyle name="Percent 4 3 2 4" xfId="604" xr:uid="{00000000-0005-0000-0000-00005C020000}"/>
    <cellStyle name="Percent 4 3 3" xfId="605" xr:uid="{00000000-0005-0000-0000-00005D020000}"/>
    <cellStyle name="Percent 4 4" xfId="606" xr:uid="{00000000-0005-0000-0000-00005E020000}"/>
    <cellStyle name="Percent 4 5" xfId="607" xr:uid="{00000000-0005-0000-0000-00005F020000}"/>
    <cellStyle name="Percent 4 5 2" xfId="608" xr:uid="{00000000-0005-0000-0000-000060020000}"/>
    <cellStyle name="Percent 4 5 3" xfId="609" xr:uid="{00000000-0005-0000-0000-000061020000}"/>
    <cellStyle name="Percent 4 5 4" xfId="610" xr:uid="{00000000-0005-0000-0000-000062020000}"/>
    <cellStyle name="Percent 5" xfId="611" xr:uid="{00000000-0005-0000-0000-000063020000}"/>
    <cellStyle name="Percent 5 2" xfId="612" xr:uid="{00000000-0005-0000-0000-000064020000}"/>
    <cellStyle name="Percent 5 3" xfId="613" xr:uid="{00000000-0005-0000-0000-000065020000}"/>
    <cellStyle name="Percent 5 4" xfId="614" xr:uid="{00000000-0005-0000-0000-000066020000}"/>
    <cellStyle name="Percent 5 4 2" xfId="615" xr:uid="{00000000-0005-0000-0000-000067020000}"/>
    <cellStyle name="Percent 5 4 3" xfId="616" xr:uid="{00000000-0005-0000-0000-000068020000}"/>
    <cellStyle name="Percent 5 4 4" xfId="617" xr:uid="{00000000-0005-0000-0000-000069020000}"/>
    <cellStyle name="Percent 5 5" xfId="618" xr:uid="{00000000-0005-0000-0000-00006A020000}"/>
    <cellStyle name="Percent 6" xfId="619" xr:uid="{00000000-0005-0000-0000-00006B020000}"/>
    <cellStyle name="Percent 6 2" xfId="620" xr:uid="{00000000-0005-0000-0000-00006C020000}"/>
    <cellStyle name="Percent 7" xfId="621" xr:uid="{00000000-0005-0000-0000-00006D020000}"/>
    <cellStyle name="Percent 7 2" xfId="622" xr:uid="{00000000-0005-0000-0000-00006E020000}"/>
    <cellStyle name="Percent 7 2 2" xfId="623" xr:uid="{00000000-0005-0000-0000-00006F020000}"/>
    <cellStyle name="Percent 7 2 2 2" xfId="624" xr:uid="{00000000-0005-0000-0000-000070020000}"/>
    <cellStyle name="Percent 7 2 2 2 2" xfId="625" xr:uid="{00000000-0005-0000-0000-000071020000}"/>
    <cellStyle name="Percent 7 2 2 3" xfId="626" xr:uid="{00000000-0005-0000-0000-000072020000}"/>
    <cellStyle name="Percent 7 2 2 3 2" xfId="627" xr:uid="{00000000-0005-0000-0000-000073020000}"/>
    <cellStyle name="Percent 7 2 2 4" xfId="628" xr:uid="{00000000-0005-0000-0000-000074020000}"/>
    <cellStyle name="Percent 7 2 3" xfId="629" xr:uid="{00000000-0005-0000-0000-000075020000}"/>
    <cellStyle name="Percent 7 2 3 2" xfId="630" xr:uid="{00000000-0005-0000-0000-000076020000}"/>
    <cellStyle name="Percent 7 2 4" xfId="631" xr:uid="{00000000-0005-0000-0000-000077020000}"/>
    <cellStyle name="Percent 7 2 4 2" xfId="632" xr:uid="{00000000-0005-0000-0000-000078020000}"/>
    <cellStyle name="Percent 7 2 4 3" xfId="633" xr:uid="{00000000-0005-0000-0000-000079020000}"/>
    <cellStyle name="Percent 7 2 5" xfId="634" xr:uid="{00000000-0005-0000-0000-00007A020000}"/>
    <cellStyle name="Percent 7 2 5 2" xfId="635" xr:uid="{00000000-0005-0000-0000-00007B020000}"/>
    <cellStyle name="Percent 7 3" xfId="636" xr:uid="{00000000-0005-0000-0000-00007C020000}"/>
    <cellStyle name="Percent 7 4" xfId="637" xr:uid="{00000000-0005-0000-0000-00007D020000}"/>
    <cellStyle name="Percent 7 5" xfId="638" xr:uid="{00000000-0005-0000-0000-00007E020000}"/>
    <cellStyle name="Percent 8" xfId="639" xr:uid="{00000000-0005-0000-0000-00007F020000}"/>
    <cellStyle name="Percent 9" xfId="640" xr:uid="{00000000-0005-0000-0000-000080020000}"/>
    <cellStyle name="PSChar" xfId="641" xr:uid="{00000000-0005-0000-0000-000081020000}"/>
    <cellStyle name="PSChar 2" xfId="642" xr:uid="{00000000-0005-0000-0000-000082020000}"/>
    <cellStyle name="PSChar 2 2" xfId="643" xr:uid="{00000000-0005-0000-0000-000083020000}"/>
    <cellStyle name="PSChar 3" xfId="644" xr:uid="{00000000-0005-0000-0000-000084020000}"/>
    <cellStyle name="PSChar 4" xfId="645" xr:uid="{00000000-0005-0000-0000-000085020000}"/>
    <cellStyle name="PSChar 4 2" xfId="646" xr:uid="{00000000-0005-0000-0000-000086020000}"/>
    <cellStyle name="PSChar 5" xfId="647" xr:uid="{00000000-0005-0000-0000-000087020000}"/>
    <cellStyle name="PSChar 5 2" xfId="648" xr:uid="{00000000-0005-0000-0000-000088020000}"/>
    <cellStyle name="PSDate" xfId="649" xr:uid="{00000000-0005-0000-0000-000089020000}"/>
    <cellStyle name="PSDate 2" xfId="650" xr:uid="{00000000-0005-0000-0000-00008A020000}"/>
    <cellStyle name="PSDate 3" xfId="651" xr:uid="{00000000-0005-0000-0000-00008B020000}"/>
    <cellStyle name="PSDate 4" xfId="652" xr:uid="{00000000-0005-0000-0000-00008C020000}"/>
    <cellStyle name="PSDate 4 2" xfId="653" xr:uid="{00000000-0005-0000-0000-00008D020000}"/>
    <cellStyle name="PSDate 5" xfId="654" xr:uid="{00000000-0005-0000-0000-00008E020000}"/>
    <cellStyle name="PSDate 5 2" xfId="655" xr:uid="{00000000-0005-0000-0000-00008F020000}"/>
    <cellStyle name="PSDec" xfId="656" xr:uid="{00000000-0005-0000-0000-000090020000}"/>
    <cellStyle name="PSDec 2" xfId="657" xr:uid="{00000000-0005-0000-0000-000091020000}"/>
    <cellStyle name="PSDec 3" xfId="658" xr:uid="{00000000-0005-0000-0000-000092020000}"/>
    <cellStyle name="PSDec 4" xfId="659" xr:uid="{00000000-0005-0000-0000-000093020000}"/>
    <cellStyle name="PSDec 4 2" xfId="660" xr:uid="{00000000-0005-0000-0000-000094020000}"/>
    <cellStyle name="PSDec 5" xfId="661" xr:uid="{00000000-0005-0000-0000-000095020000}"/>
    <cellStyle name="PSDec 5 2" xfId="662" xr:uid="{00000000-0005-0000-0000-000096020000}"/>
    <cellStyle name="PSdesc" xfId="663" xr:uid="{00000000-0005-0000-0000-000097020000}"/>
    <cellStyle name="PSdesc 2" xfId="664" xr:uid="{00000000-0005-0000-0000-000098020000}"/>
    <cellStyle name="PSHeading" xfId="665" xr:uid="{00000000-0005-0000-0000-000099020000}"/>
    <cellStyle name="PSHeading 2" xfId="666" xr:uid="{00000000-0005-0000-0000-00009A020000}"/>
    <cellStyle name="PSHeading 3" xfId="667" xr:uid="{00000000-0005-0000-0000-00009B020000}"/>
    <cellStyle name="PSHeading 4" xfId="668" xr:uid="{00000000-0005-0000-0000-00009C020000}"/>
    <cellStyle name="PSHeading 5" xfId="669" xr:uid="{00000000-0005-0000-0000-00009D020000}"/>
    <cellStyle name="PSHeading 5 2" xfId="670" xr:uid="{00000000-0005-0000-0000-00009E020000}"/>
    <cellStyle name="PSHeading 6" xfId="671" xr:uid="{00000000-0005-0000-0000-00009F020000}"/>
    <cellStyle name="PSHeading 6 2" xfId="672" xr:uid="{00000000-0005-0000-0000-0000A0020000}"/>
    <cellStyle name="PSInt" xfId="673" xr:uid="{00000000-0005-0000-0000-0000A1020000}"/>
    <cellStyle name="PSInt 2" xfId="674" xr:uid="{00000000-0005-0000-0000-0000A2020000}"/>
    <cellStyle name="PSInt 3" xfId="675" xr:uid="{00000000-0005-0000-0000-0000A3020000}"/>
    <cellStyle name="PSInt 4" xfId="676" xr:uid="{00000000-0005-0000-0000-0000A4020000}"/>
    <cellStyle name="PSInt 4 2" xfId="677" xr:uid="{00000000-0005-0000-0000-0000A5020000}"/>
    <cellStyle name="PSInt 5" xfId="678" xr:uid="{00000000-0005-0000-0000-0000A6020000}"/>
    <cellStyle name="PSInt 5 2" xfId="679" xr:uid="{00000000-0005-0000-0000-0000A7020000}"/>
    <cellStyle name="PSSpacer" xfId="680" xr:uid="{00000000-0005-0000-0000-0000A8020000}"/>
    <cellStyle name="PSSpacer 2" xfId="681" xr:uid="{00000000-0005-0000-0000-0000A9020000}"/>
    <cellStyle name="PSSpacer 3" xfId="682" xr:uid="{00000000-0005-0000-0000-0000AA020000}"/>
    <cellStyle name="PSSpacer 3 2" xfId="683" xr:uid="{00000000-0005-0000-0000-0000AB020000}"/>
    <cellStyle name="PStest" xfId="684" xr:uid="{00000000-0005-0000-0000-0000AC020000}"/>
    <cellStyle name="PStest 2" xfId="685" xr:uid="{00000000-0005-0000-0000-0000AD020000}"/>
    <cellStyle name="R00A" xfId="686" xr:uid="{00000000-0005-0000-0000-0000AE020000}"/>
    <cellStyle name="R00B" xfId="687" xr:uid="{00000000-0005-0000-0000-0000AF020000}"/>
    <cellStyle name="R00L" xfId="688" xr:uid="{00000000-0005-0000-0000-0000B0020000}"/>
    <cellStyle name="R01A" xfId="689" xr:uid="{00000000-0005-0000-0000-0000B1020000}"/>
    <cellStyle name="R01B" xfId="690" xr:uid="{00000000-0005-0000-0000-0000B2020000}"/>
    <cellStyle name="R01H" xfId="691" xr:uid="{00000000-0005-0000-0000-0000B3020000}"/>
    <cellStyle name="R01L" xfId="692" xr:uid="{00000000-0005-0000-0000-0000B4020000}"/>
    <cellStyle name="R02A" xfId="693" xr:uid="{00000000-0005-0000-0000-0000B5020000}"/>
    <cellStyle name="R02B" xfId="694" xr:uid="{00000000-0005-0000-0000-0000B6020000}"/>
    <cellStyle name="R02B 2" xfId="695" xr:uid="{00000000-0005-0000-0000-0000B7020000}"/>
    <cellStyle name="R02H" xfId="696" xr:uid="{00000000-0005-0000-0000-0000B8020000}"/>
    <cellStyle name="R02L" xfId="697" xr:uid="{00000000-0005-0000-0000-0000B9020000}"/>
    <cellStyle name="R03A" xfId="698" xr:uid="{00000000-0005-0000-0000-0000BA020000}"/>
    <cellStyle name="R03B" xfId="699" xr:uid="{00000000-0005-0000-0000-0000BB020000}"/>
    <cellStyle name="R03B 2" xfId="700" xr:uid="{00000000-0005-0000-0000-0000BC020000}"/>
    <cellStyle name="R03H" xfId="701" xr:uid="{00000000-0005-0000-0000-0000BD020000}"/>
    <cellStyle name="R03L" xfId="702" xr:uid="{00000000-0005-0000-0000-0000BE020000}"/>
    <cellStyle name="R04A" xfId="703" xr:uid="{00000000-0005-0000-0000-0000BF020000}"/>
    <cellStyle name="R04B" xfId="704" xr:uid="{00000000-0005-0000-0000-0000C0020000}"/>
    <cellStyle name="R04B 2" xfId="705" xr:uid="{00000000-0005-0000-0000-0000C1020000}"/>
    <cellStyle name="R04H" xfId="706" xr:uid="{00000000-0005-0000-0000-0000C2020000}"/>
    <cellStyle name="R04L" xfId="707" xr:uid="{00000000-0005-0000-0000-0000C3020000}"/>
    <cellStyle name="R05A" xfId="708" xr:uid="{00000000-0005-0000-0000-0000C4020000}"/>
    <cellStyle name="R05B" xfId="709" xr:uid="{00000000-0005-0000-0000-0000C5020000}"/>
    <cellStyle name="R05B 2" xfId="710" xr:uid="{00000000-0005-0000-0000-0000C6020000}"/>
    <cellStyle name="R05H" xfId="711" xr:uid="{00000000-0005-0000-0000-0000C7020000}"/>
    <cellStyle name="R05L" xfId="712" xr:uid="{00000000-0005-0000-0000-0000C8020000}"/>
    <cellStyle name="R05L 2" xfId="713" xr:uid="{00000000-0005-0000-0000-0000C9020000}"/>
    <cellStyle name="R06A" xfId="714" xr:uid="{00000000-0005-0000-0000-0000CA020000}"/>
    <cellStyle name="R06B" xfId="715" xr:uid="{00000000-0005-0000-0000-0000CB020000}"/>
    <cellStyle name="R06B 2" xfId="716" xr:uid="{00000000-0005-0000-0000-0000CC020000}"/>
    <cellStyle name="R06H" xfId="717" xr:uid="{00000000-0005-0000-0000-0000CD020000}"/>
    <cellStyle name="R06L" xfId="718" xr:uid="{00000000-0005-0000-0000-0000CE020000}"/>
    <cellStyle name="R07A" xfId="719" xr:uid="{00000000-0005-0000-0000-0000CF020000}"/>
    <cellStyle name="R07B" xfId="720" xr:uid="{00000000-0005-0000-0000-0000D0020000}"/>
    <cellStyle name="R07B 2" xfId="721" xr:uid="{00000000-0005-0000-0000-0000D1020000}"/>
    <cellStyle name="R07H" xfId="722" xr:uid="{00000000-0005-0000-0000-0000D2020000}"/>
    <cellStyle name="R07L" xfId="723" xr:uid="{00000000-0005-0000-0000-0000D3020000}"/>
    <cellStyle name="Title" xfId="724" builtinId="15" customBuiltin="1"/>
    <cellStyle name="Title 2" xfId="725" xr:uid="{00000000-0005-0000-0000-0000D5020000}"/>
    <cellStyle name="Title 2 2" xfId="726" xr:uid="{00000000-0005-0000-0000-0000D6020000}"/>
    <cellStyle name="Total" xfId="727" builtinId="25" customBuiltin="1"/>
    <cellStyle name="Total 2" xfId="728" xr:uid="{00000000-0005-0000-0000-0000D8020000}"/>
    <cellStyle name="Total 2 2" xfId="729" xr:uid="{00000000-0005-0000-0000-0000D9020000}"/>
    <cellStyle name="Total 3" xfId="730" xr:uid="{00000000-0005-0000-0000-0000DA020000}"/>
    <cellStyle name="Total 3 2" xfId="731" xr:uid="{00000000-0005-0000-0000-0000DB020000}"/>
    <cellStyle name="Warning Text" xfId="732" builtinId="11" customBuiltin="1"/>
    <cellStyle name="Warning Text 2" xfId="733" xr:uid="{00000000-0005-0000-0000-0000DD020000}"/>
    <cellStyle name="Warning Text 2 2" xfId="734" xr:uid="{00000000-0005-0000-0000-0000DE020000}"/>
  </cellStyles>
  <dxfs count="74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28</xdr:row>
      <xdr:rowOff>114300</xdr:rowOff>
    </xdr:from>
    <xdr:to>
      <xdr:col>4</xdr:col>
      <xdr:colOff>495300</xdr:colOff>
      <xdr:row>29</xdr:row>
      <xdr:rowOff>152400</xdr:rowOff>
    </xdr:to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00000000-0008-0000-0100-000015060000}"/>
            </a:ext>
          </a:extLst>
        </xdr:cNvPr>
        <xdr:cNvSpPr txBox="1">
          <a:spLocks noChangeArrowheads="1"/>
        </xdr:cNvSpPr>
      </xdr:nvSpPr>
      <xdr:spPr bwMode="auto">
        <a:xfrm>
          <a:off x="3914775" y="54387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10741" name="Text Box 1">
          <a:extLst>
            <a:ext uri="{FF2B5EF4-FFF2-40B4-BE49-F238E27FC236}">
              <a16:creationId xmlns:a16="http://schemas.microsoft.com/office/drawing/2014/main" id="{00000000-0008-0000-0B00-0000F52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0978" name="Text Box 1">
          <a:extLst>
            <a:ext uri="{FF2B5EF4-FFF2-40B4-BE49-F238E27FC236}">
              <a16:creationId xmlns:a16="http://schemas.microsoft.com/office/drawing/2014/main" id="{00000000-0008-0000-0C00-0000F25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2004" name="Text Box 1">
          <a:extLst>
            <a:ext uri="{FF2B5EF4-FFF2-40B4-BE49-F238E27FC236}">
              <a16:creationId xmlns:a16="http://schemas.microsoft.com/office/drawing/2014/main" id="{00000000-0008-0000-0D00-0000F45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4050" name="Text Box 1">
          <a:extLst>
            <a:ext uri="{FF2B5EF4-FFF2-40B4-BE49-F238E27FC236}">
              <a16:creationId xmlns:a16="http://schemas.microsoft.com/office/drawing/2014/main" id="{00000000-0008-0000-0E00-0000F25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25074" name="Text Box 1">
          <a:extLst>
            <a:ext uri="{FF2B5EF4-FFF2-40B4-BE49-F238E27FC236}">
              <a16:creationId xmlns:a16="http://schemas.microsoft.com/office/drawing/2014/main" id="{00000000-0008-0000-0F00-0000F26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7119" name="Text Box 1">
          <a:extLst>
            <a:ext uri="{FF2B5EF4-FFF2-40B4-BE49-F238E27FC236}">
              <a16:creationId xmlns:a16="http://schemas.microsoft.com/office/drawing/2014/main" id="{00000000-0008-0000-1000-0000EF6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8088" name="Text Box 1">
          <a:extLst>
            <a:ext uri="{FF2B5EF4-FFF2-40B4-BE49-F238E27FC236}">
              <a16:creationId xmlns:a16="http://schemas.microsoft.com/office/drawing/2014/main" id="{00000000-0008-0000-1100-0000B86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9109" name="Text Box 1">
          <a:extLst>
            <a:ext uri="{FF2B5EF4-FFF2-40B4-BE49-F238E27FC236}">
              <a16:creationId xmlns:a16="http://schemas.microsoft.com/office/drawing/2014/main" id="{00000000-0008-0000-1200-0000B57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30080" name="Text Box 1">
          <a:extLst>
            <a:ext uri="{FF2B5EF4-FFF2-40B4-BE49-F238E27FC236}">
              <a16:creationId xmlns:a16="http://schemas.microsoft.com/office/drawing/2014/main" id="{00000000-0008-0000-1300-0000807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31104" name="Text Box 1">
          <a:extLst>
            <a:ext uri="{FF2B5EF4-FFF2-40B4-BE49-F238E27FC236}">
              <a16:creationId xmlns:a16="http://schemas.microsoft.com/office/drawing/2014/main" id="{00000000-0008-0000-1400-0000807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00000000-0008-0000-0300-0000F60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8147" name="Text Box 1">
          <a:extLst>
            <a:ext uri="{FF2B5EF4-FFF2-40B4-BE49-F238E27FC236}">
              <a16:creationId xmlns:a16="http://schemas.microsoft.com/office/drawing/2014/main" id="{00000000-0008-0000-1500-0000039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9171" name="Text Box 1">
          <a:extLst>
            <a:ext uri="{FF2B5EF4-FFF2-40B4-BE49-F238E27FC236}">
              <a16:creationId xmlns:a16="http://schemas.microsoft.com/office/drawing/2014/main" id="{00000000-0008-0000-1600-0000039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40195" name="Text Box 1">
          <a:extLst>
            <a:ext uri="{FF2B5EF4-FFF2-40B4-BE49-F238E27FC236}">
              <a16:creationId xmlns:a16="http://schemas.microsoft.com/office/drawing/2014/main" id="{00000000-0008-0000-1700-0000039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41219" name="Text Box 1">
          <a:extLst>
            <a:ext uri="{FF2B5EF4-FFF2-40B4-BE49-F238E27FC236}">
              <a16:creationId xmlns:a16="http://schemas.microsoft.com/office/drawing/2014/main" id="{00000000-0008-0000-1800-000003A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0</xdr:rowOff>
    </xdr:to>
    <xdr:sp macro="" textlink="">
      <xdr:nvSpPr>
        <xdr:cNvPr id="43102" name="Text Box 1">
          <a:extLst>
            <a:ext uri="{FF2B5EF4-FFF2-40B4-BE49-F238E27FC236}">
              <a16:creationId xmlns:a16="http://schemas.microsoft.com/office/drawing/2014/main" id="{00000000-0008-0000-1900-00005EA8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0</xdr:rowOff>
    </xdr:to>
    <xdr:sp macro="" textlink="">
      <xdr:nvSpPr>
        <xdr:cNvPr id="44126" name="Text Box 1">
          <a:extLst>
            <a:ext uri="{FF2B5EF4-FFF2-40B4-BE49-F238E27FC236}">
              <a16:creationId xmlns:a16="http://schemas.microsoft.com/office/drawing/2014/main" id="{00000000-0008-0000-1A00-00005EAC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76200</xdr:rowOff>
    </xdr:to>
    <xdr:sp macro="" textlink="">
      <xdr:nvSpPr>
        <xdr:cNvPr id="48143" name="Text Box 1">
          <a:extLst>
            <a:ext uri="{FF2B5EF4-FFF2-40B4-BE49-F238E27FC236}">
              <a16:creationId xmlns:a16="http://schemas.microsoft.com/office/drawing/2014/main" id="{00000000-0008-0000-1B00-00000FBC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49167" name="Text Box 1">
          <a:extLst>
            <a:ext uri="{FF2B5EF4-FFF2-40B4-BE49-F238E27FC236}">
              <a16:creationId xmlns:a16="http://schemas.microsoft.com/office/drawing/2014/main" id="{00000000-0008-0000-1C00-00000FC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76200</xdr:rowOff>
    </xdr:to>
    <xdr:sp macro="" textlink="">
      <xdr:nvSpPr>
        <xdr:cNvPr id="50191" name="Text Box 1">
          <a:extLst>
            <a:ext uri="{FF2B5EF4-FFF2-40B4-BE49-F238E27FC236}">
              <a16:creationId xmlns:a16="http://schemas.microsoft.com/office/drawing/2014/main" id="{00000000-0008-0000-1D00-00000FC4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76200</xdr:rowOff>
    </xdr:to>
    <xdr:sp macro="" textlink="">
      <xdr:nvSpPr>
        <xdr:cNvPr id="51215" name="Text Box 1">
          <a:extLst>
            <a:ext uri="{FF2B5EF4-FFF2-40B4-BE49-F238E27FC236}">
              <a16:creationId xmlns:a16="http://schemas.microsoft.com/office/drawing/2014/main" id="{00000000-0008-0000-1E00-00000FC8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id="{00000000-0008-0000-0400-0000F40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76200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2</xdr:row>
      <xdr:rowOff>15875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AF117FD-76E6-49EC-9EF2-8B5FC40C6226}"/>
            </a:ext>
          </a:extLst>
        </xdr:cNvPr>
        <xdr:cNvSpPr txBox="1">
          <a:spLocks noChangeArrowheads="1"/>
        </xdr:cNvSpPr>
      </xdr:nvSpPr>
      <xdr:spPr bwMode="auto">
        <a:xfrm>
          <a:off x="3917950" y="0"/>
          <a:ext cx="1143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3</xdr:row>
      <xdr:rowOff>15875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99CE5BC-D211-4ADF-B91D-8A549748BFC3}"/>
            </a:ext>
          </a:extLst>
        </xdr:cNvPr>
        <xdr:cNvSpPr txBox="1">
          <a:spLocks noChangeArrowheads="1"/>
        </xdr:cNvSpPr>
      </xdr:nvSpPr>
      <xdr:spPr bwMode="auto">
        <a:xfrm>
          <a:off x="3917950" y="0"/>
          <a:ext cx="1143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3</xdr:row>
      <xdr:rowOff>15875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CA0CDC1-8A43-4F32-9FF5-BD0A38309929}"/>
            </a:ext>
          </a:extLst>
        </xdr:cNvPr>
        <xdr:cNvSpPr txBox="1">
          <a:spLocks noChangeArrowheads="1"/>
        </xdr:cNvSpPr>
      </xdr:nvSpPr>
      <xdr:spPr bwMode="auto">
        <a:xfrm>
          <a:off x="3917950" y="0"/>
          <a:ext cx="1143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83E4A05-7FE2-420F-AA7F-884E58E3AF5C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775237B-B748-4EEA-BFD8-B884C2DB7248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74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BF4B6B2-7875-40B0-8ADB-8431AF59480C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9329DD8-9C6D-4901-AF2D-8B3027DC9F4B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0360BFC-D52E-44EF-BA84-F33BD0E6B656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12787" name="Text Box 1">
          <a:extLst>
            <a:ext uri="{FF2B5EF4-FFF2-40B4-BE49-F238E27FC236}">
              <a16:creationId xmlns:a16="http://schemas.microsoft.com/office/drawing/2014/main" id="{00000000-0008-0000-2000-0000F33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id="{00000000-0008-0000-0500-0000F41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5639" name="Text Box 1">
          <a:extLst>
            <a:ext uri="{FF2B5EF4-FFF2-40B4-BE49-F238E27FC236}">
              <a16:creationId xmlns:a16="http://schemas.microsoft.com/office/drawing/2014/main" id="{00000000-0008-0000-0600-00000716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6645" name="Text Box 1">
          <a:extLst>
            <a:ext uri="{FF2B5EF4-FFF2-40B4-BE49-F238E27FC236}">
              <a16:creationId xmlns:a16="http://schemas.microsoft.com/office/drawing/2014/main" id="{00000000-0008-0000-0700-0000F51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7669" name="Text Box 1">
          <a:extLst>
            <a:ext uri="{FF2B5EF4-FFF2-40B4-BE49-F238E27FC236}">
              <a16:creationId xmlns:a16="http://schemas.microsoft.com/office/drawing/2014/main" id="{00000000-0008-0000-0800-0000F51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8690" name="Text Box 1">
          <a:extLst>
            <a:ext uri="{FF2B5EF4-FFF2-40B4-BE49-F238E27FC236}">
              <a16:creationId xmlns:a16="http://schemas.microsoft.com/office/drawing/2014/main" id="{00000000-0008-0000-0900-0000F22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9716" name="Text Box 1">
          <a:extLst>
            <a:ext uri="{FF2B5EF4-FFF2-40B4-BE49-F238E27FC236}">
              <a16:creationId xmlns:a16="http://schemas.microsoft.com/office/drawing/2014/main" id="{00000000-0008-0000-0A00-0000F42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101"/>
  <sheetViews>
    <sheetView tabSelected="1" topLeftCell="C1" zoomScale="85" zoomScaleNormal="85" zoomScaleSheetLayoutView="75" workbookViewId="0">
      <selection activeCell="G51" sqref="G51"/>
    </sheetView>
  </sheetViews>
  <sheetFormatPr defaultColWidth="8.7109375" defaultRowHeight="12.75" customHeight="1"/>
  <cols>
    <col min="1" max="1" width="7.42578125" customWidth="1"/>
    <col min="2" max="2" width="7" bestFit="1" customWidth="1"/>
    <col min="3" max="3" width="43.140625" customWidth="1"/>
    <col min="4" max="4" width="9.5703125" customWidth="1"/>
    <col min="5" max="7" width="15.42578125" customWidth="1"/>
    <col min="8" max="8" width="2.85546875" customWidth="1"/>
    <col min="9" max="9" width="13.5703125" customWidth="1"/>
    <col min="10" max="10" width="13.28515625" customWidth="1"/>
    <col min="11" max="11" width="14.85546875" customWidth="1"/>
    <col min="12" max="12" width="15.28515625" customWidth="1"/>
    <col min="13" max="13" width="2.42578125" customWidth="1"/>
    <col min="14" max="14" width="6.140625" customWidth="1"/>
    <col min="15" max="15" width="8.7109375" customWidth="1"/>
    <col min="16" max="16" width="10.7109375" customWidth="1"/>
    <col min="17" max="17" width="14.42578125" style="498" customWidth="1"/>
    <col min="18" max="18" width="18.7109375" customWidth="1"/>
    <col min="19" max="19" width="2.42578125" customWidth="1"/>
    <col min="20" max="20" width="19.140625" bestFit="1" customWidth="1"/>
    <col min="21" max="21" width="11.85546875" style="181" bestFit="1" customWidth="1"/>
    <col min="22" max="22" width="13.85546875" customWidth="1"/>
    <col min="29" max="29" width="9.140625" customWidth="1"/>
  </cols>
  <sheetData>
    <row r="1" spans="1:23" ht="15">
      <c r="H1" s="130" t="s">
        <v>157</v>
      </c>
      <c r="U1" s="181">
        <v>2025</v>
      </c>
    </row>
    <row r="2" spans="1:23" ht="15">
      <c r="H2" s="131" t="s">
        <v>189</v>
      </c>
      <c r="U2" s="181">
        <f>+U1+1</f>
        <v>2026</v>
      </c>
    </row>
    <row r="3" spans="1:23" ht="15">
      <c r="H3" s="130" t="str">
        <f>"For Calendar Year "&amp;U1&amp;" and Projected Year "&amp;U1</f>
        <v>For Calendar Year 2025 and Projected Year 2025</v>
      </c>
    </row>
    <row r="4" spans="1:23" ht="15">
      <c r="H4" s="132"/>
    </row>
    <row r="5" spans="1:23" ht="15.75">
      <c r="H5" s="133" t="s">
        <v>158</v>
      </c>
    </row>
    <row r="7" spans="1:23" ht="18">
      <c r="C7" s="134"/>
      <c r="E7" s="134"/>
      <c r="F7" s="134"/>
      <c r="G7" s="134"/>
      <c r="H7" s="134" t="s">
        <v>124</v>
      </c>
      <c r="I7" s="134"/>
      <c r="J7" s="134"/>
      <c r="K7" s="134"/>
      <c r="L7" s="134"/>
    </row>
    <row r="8" spans="1:23"/>
    <row r="9" spans="1:23">
      <c r="A9" t="s">
        <v>257</v>
      </c>
    </row>
    <row r="12" spans="1:23" ht="22.5" customHeight="1">
      <c r="A12" s="135" t="s">
        <v>159</v>
      </c>
      <c r="B12" s="135" t="s">
        <v>160</v>
      </c>
      <c r="C12" s="136" t="s">
        <v>161</v>
      </c>
      <c r="D12" s="135" t="s">
        <v>162</v>
      </c>
      <c r="E12" s="135" t="s">
        <v>163</v>
      </c>
      <c r="F12" s="135" t="s">
        <v>164</v>
      </c>
      <c r="G12" s="135" t="str">
        <f>"(G) = "&amp;E12&amp;" + "&amp;F12</f>
        <v>(G) = (E) + (F)</v>
      </c>
      <c r="H12" s="135"/>
      <c r="I12" s="135" t="s">
        <v>165</v>
      </c>
      <c r="J12" s="135" t="s">
        <v>166</v>
      </c>
      <c r="K12" s="137" t="s">
        <v>197</v>
      </c>
      <c r="L12" s="135" t="str">
        <f>"(K) = "&amp;J12&amp;" - "&amp;K12</f>
        <v>(K) = (I) - (J)</v>
      </c>
      <c r="M12" s="135"/>
      <c r="N12" s="135" t="s">
        <v>198</v>
      </c>
      <c r="O12" s="135" t="s">
        <v>167</v>
      </c>
      <c r="P12" s="135" t="str">
        <f>"(N) = "&amp;N12&amp;"-"&amp;O12</f>
        <v>(N) = (L)-(M)</v>
      </c>
      <c r="Q12" s="499" t="s">
        <v>199</v>
      </c>
      <c r="R12" s="135" t="str">
        <f>"(P) = "&amp;I12&amp;"+"&amp;LEFT(L12,3)&amp;"+"&amp;LEFT(P12,3)&amp;"+"&amp;Q12</f>
        <v>(P) = (H)+(K)+(N)+(O)</v>
      </c>
      <c r="S12" s="135"/>
      <c r="T12" s="135" t="str">
        <f>"(Q) = "&amp;LEFT(G12,3)&amp;" + "&amp;LEFT(R12,3)</f>
        <v>(Q) = (G) + (P)</v>
      </c>
      <c r="U12" s="503"/>
      <c r="V12" s="138"/>
      <c r="W12" s="138"/>
    </row>
    <row r="13" spans="1:23" ht="16.5" customHeight="1">
      <c r="A13" s="7"/>
      <c r="B13" s="7"/>
      <c r="C13" s="7"/>
      <c r="D13" s="7"/>
      <c r="E13" s="526" t="str">
        <f>"Projected ARR For "&amp;U2&amp;" From WS-F"</f>
        <v>Projected ARR For 2026 From WS-F</v>
      </c>
      <c r="F13" s="526"/>
      <c r="G13" s="526"/>
      <c r="H13" s="7"/>
      <c r="I13" s="139" t="s">
        <v>388</v>
      </c>
      <c r="J13" s="139"/>
      <c r="K13" s="139"/>
      <c r="L13" s="139"/>
      <c r="M13" s="139"/>
      <c r="N13" s="139"/>
      <c r="O13" s="139"/>
      <c r="P13" s="139"/>
      <c r="Q13" s="500"/>
      <c r="R13" s="140"/>
      <c r="S13" s="7"/>
      <c r="T13" s="7"/>
      <c r="U13" s="504"/>
    </row>
    <row r="14" spans="1:23" ht="18" customHeight="1">
      <c r="I14" s="141"/>
      <c r="T14" s="527" t="str">
        <f>"Total ADJUSTED Revenue Requirement Effective
1/1/"&amp;U2&amp;""</f>
        <v>Total ADJUSTED Revenue Requirement Effective
1/1/2026</v>
      </c>
    </row>
    <row r="15" spans="1:23" ht="18" customHeight="1" thickBot="1">
      <c r="D15" s="7"/>
      <c r="E15" s="34"/>
      <c r="F15" s="34"/>
      <c r="G15" s="34"/>
      <c r="I15" s="139" t="s">
        <v>168</v>
      </c>
      <c r="J15" s="142"/>
      <c r="K15" s="142"/>
      <c r="L15" s="142"/>
      <c r="M15" s="143"/>
      <c r="N15" s="139" t="s">
        <v>196</v>
      </c>
      <c r="O15" s="144"/>
      <c r="P15" s="144"/>
      <c r="Q15" s="501"/>
      <c r="T15" s="527"/>
    </row>
    <row r="16" spans="1:23" ht="69" customHeight="1">
      <c r="A16" s="145" t="s">
        <v>179</v>
      </c>
      <c r="B16" s="146" t="s">
        <v>169</v>
      </c>
      <c r="C16" s="146" t="s">
        <v>131</v>
      </c>
      <c r="D16" s="145" t="s">
        <v>170</v>
      </c>
      <c r="E16" s="147" t="s">
        <v>194</v>
      </c>
      <c r="F16" s="146" t="s">
        <v>171</v>
      </c>
      <c r="G16" s="146" t="s">
        <v>172</v>
      </c>
      <c r="I16" s="147" t="s">
        <v>193</v>
      </c>
      <c r="J16" s="147" t="s">
        <v>223</v>
      </c>
      <c r="K16" s="147" t="s">
        <v>213</v>
      </c>
      <c r="L16" s="147" t="s">
        <v>195</v>
      </c>
      <c r="M16" s="147"/>
      <c r="N16" s="145" t="s">
        <v>173</v>
      </c>
      <c r="O16" s="145" t="s">
        <v>174</v>
      </c>
      <c r="P16" s="146" t="s">
        <v>175</v>
      </c>
      <c r="Q16" s="502" t="s">
        <v>176</v>
      </c>
      <c r="R16" s="147" t="s">
        <v>220</v>
      </c>
      <c r="T16" s="527"/>
      <c r="U16" s="505" t="s">
        <v>389</v>
      </c>
      <c r="V16" s="148" t="s">
        <v>200</v>
      </c>
    </row>
    <row r="17" spans="1:23">
      <c r="B17" s="7"/>
      <c r="C17" s="7"/>
      <c r="E17" s="26"/>
      <c r="F17" s="26"/>
      <c r="G17" s="26"/>
      <c r="I17" s="26"/>
      <c r="J17" s="26"/>
      <c r="K17" s="26"/>
      <c r="L17" s="26"/>
      <c r="M17" s="26"/>
      <c r="N17" s="26"/>
      <c r="O17" s="26"/>
      <c r="P17" s="26"/>
      <c r="Q17" s="508"/>
      <c r="R17" s="26"/>
      <c r="T17" s="26"/>
      <c r="V17" s="149"/>
    </row>
    <row r="18" spans="1:23">
      <c r="A18" s="135" t="s">
        <v>178</v>
      </c>
      <c r="B18" s="135" t="s">
        <v>117</v>
      </c>
      <c r="C18" s="150" t="str">
        <f t="shared" ref="C18:D53" ca="1" si="0">INDIRECT("'"&amp; $A18 &amp; "'!" &amp;C$62)</f>
        <v>Riverside-Glenpool (81-523) Reconductor</v>
      </c>
      <c r="D18" s="151">
        <f t="shared" ca="1" si="0"/>
        <v>2009</v>
      </c>
      <c r="E18" s="152">
        <v>0</v>
      </c>
      <c r="F18" s="153">
        <f t="shared" ref="F18:F45" ca="1" si="1">INDIRECT("'"&amp; $A18 &amp; "'!" &amp;F$62)</f>
        <v>0</v>
      </c>
      <c r="G18" s="153">
        <f t="shared" ref="G18:G27" ca="1" si="2">+E18+F18</f>
        <v>0</v>
      </c>
      <c r="H18" s="138"/>
      <c r="I18" s="154">
        <f t="shared" ref="I18:I53" ca="1" si="3">INDIRECT("'"&amp; $A18 &amp; "'!" &amp;I$62)</f>
        <v>4288.6863435605192</v>
      </c>
      <c r="J18" s="496">
        <v>84151.338169871146</v>
      </c>
      <c r="K18" s="155">
        <f t="shared" ref="K18:K45" si="4">J18/J$55*K$55</f>
        <v>84800.817157954953</v>
      </c>
      <c r="L18" s="152">
        <f t="shared" ref="L18:L27" si="5">+J18-K18</f>
        <v>-649.47898808380705</v>
      </c>
      <c r="M18" s="152"/>
      <c r="N18" s="153">
        <v>0</v>
      </c>
      <c r="O18" s="153">
        <v>0</v>
      </c>
      <c r="P18" s="153">
        <f t="shared" ref="P18:P26" si="6">+N18-O18</f>
        <v>0</v>
      </c>
      <c r="Q18" s="509">
        <f t="shared" ref="Q18:Q43" ca="1" si="7">+V18/$V$55 * $Q$55</f>
        <v>1357.1533442452596</v>
      </c>
      <c r="R18" s="156">
        <f t="shared" ref="R18:R27" ca="1" si="8">I18+L18+P18+Q18</f>
        <v>4996.3606997219722</v>
      </c>
      <c r="S18" s="156"/>
      <c r="T18" s="157">
        <f t="shared" ref="T18:T27" ca="1" si="9">+G18+R18</f>
        <v>4996.3606997219722</v>
      </c>
      <c r="U18" s="515">
        <v>-3616.8629400212039</v>
      </c>
      <c r="V18" s="158">
        <f t="shared" ref="V18:V27" ca="1" si="10">+I18+L18+P18</f>
        <v>3639.2073554767121</v>
      </c>
      <c r="W18" s="138" t="str">
        <f>A18</f>
        <v>P.001</v>
      </c>
    </row>
    <row r="19" spans="1:23" ht="25.5">
      <c r="A19" s="135" t="s">
        <v>180</v>
      </c>
      <c r="B19" s="135" t="s">
        <v>117</v>
      </c>
      <c r="C19" s="150" t="str">
        <f t="shared" ca="1" si="0"/>
        <v>Craig Jct. to Broken Bow Dam 138 Rebuild (7.7mi)</v>
      </c>
      <c r="D19" s="151">
        <f t="shared" ca="1" si="0"/>
        <v>2009</v>
      </c>
      <c r="E19" s="152">
        <v>0</v>
      </c>
      <c r="F19" s="153">
        <f t="shared" ca="1" si="1"/>
        <v>0</v>
      </c>
      <c r="G19" s="153">
        <f t="shared" ca="1" si="2"/>
        <v>0</v>
      </c>
      <c r="H19" s="138"/>
      <c r="I19" s="154">
        <f t="shared" ca="1" si="3"/>
        <v>26821.410131255863</v>
      </c>
      <c r="J19" s="496">
        <v>441700.72283626837</v>
      </c>
      <c r="K19" s="155">
        <f t="shared" si="4"/>
        <v>445109.7635567438</v>
      </c>
      <c r="L19" s="152">
        <f t="shared" si="5"/>
        <v>-3409.0407204754301</v>
      </c>
      <c r="M19" s="152"/>
      <c r="N19" s="153">
        <v>0</v>
      </c>
      <c r="O19" s="153">
        <v>0</v>
      </c>
      <c r="P19" s="153">
        <f t="shared" si="6"/>
        <v>0</v>
      </c>
      <c r="Q19" s="509">
        <f t="shared" ca="1" si="7"/>
        <v>8731.0703510006188</v>
      </c>
      <c r="R19" s="156">
        <f t="shared" ca="1" si="8"/>
        <v>32143.439761781054</v>
      </c>
      <c r="S19" s="156"/>
      <c r="T19" s="159">
        <f t="shared" ca="1" si="9"/>
        <v>32143.439761781054</v>
      </c>
      <c r="U19" s="515">
        <v>-18972.917590952547</v>
      </c>
      <c r="V19" s="158">
        <f t="shared" ca="1" si="10"/>
        <v>23412.369410780433</v>
      </c>
      <c r="W19" s="138" t="str">
        <f t="shared" ref="W19:W25" si="11">A19</f>
        <v>P.002</v>
      </c>
    </row>
    <row r="20" spans="1:23" ht="25.5">
      <c r="A20" s="135" t="s">
        <v>181</v>
      </c>
      <c r="B20" s="135" t="s">
        <v>117</v>
      </c>
      <c r="C20" s="160" t="str">
        <f t="shared" ca="1" si="0"/>
        <v>WFEC New 138 kV Ties: Sayre to Erick (WFEC) Line &amp; Atoka and Tupelo station work</v>
      </c>
      <c r="D20" s="151">
        <f t="shared" ca="1" si="0"/>
        <v>2009</v>
      </c>
      <c r="E20" s="152">
        <v>0</v>
      </c>
      <c r="F20" s="153">
        <f t="shared" ca="1" si="1"/>
        <v>0</v>
      </c>
      <c r="G20" s="153">
        <f t="shared" ca="1" si="2"/>
        <v>0</v>
      </c>
      <c r="H20" s="138"/>
      <c r="I20" s="154">
        <f t="shared" ca="1" si="3"/>
        <v>60753.470674853539</v>
      </c>
      <c r="J20" s="496">
        <v>1081556.1026118123</v>
      </c>
      <c r="K20" s="155">
        <f t="shared" si="4"/>
        <v>1089903.5392462981</v>
      </c>
      <c r="L20" s="152">
        <f t="shared" si="5"/>
        <v>-8347.4366344858427</v>
      </c>
      <c r="M20" s="152"/>
      <c r="N20" s="153">
        <v>0</v>
      </c>
      <c r="O20" s="153">
        <v>0</v>
      </c>
      <c r="P20" s="153">
        <f t="shared" si="6"/>
        <v>0</v>
      </c>
      <c r="Q20" s="509">
        <f t="shared" ca="1" si="7"/>
        <v>19543.54819861571</v>
      </c>
      <c r="R20" s="156">
        <f t="shared" ca="1" si="8"/>
        <v>71949.582238983407</v>
      </c>
      <c r="S20" s="156"/>
      <c r="T20" s="159">
        <f t="shared" ca="1" si="9"/>
        <v>71949.582238983407</v>
      </c>
      <c r="U20" s="515">
        <v>-46355.256580993868</v>
      </c>
      <c r="V20" s="158">
        <f t="shared" ca="1" si="10"/>
        <v>52406.034040367696</v>
      </c>
      <c r="W20" s="138" t="str">
        <f t="shared" si="11"/>
        <v>P.003</v>
      </c>
    </row>
    <row r="21" spans="1:23" ht="25.5">
      <c r="A21" s="135" t="s">
        <v>182</v>
      </c>
      <c r="B21" s="135" t="s">
        <v>117</v>
      </c>
      <c r="C21" s="160" t="str">
        <f t="shared" ca="1" si="0"/>
        <v>Cache-Snyder to Altus Jct. 138 kV line (w/2 ring bus stations)</v>
      </c>
      <c r="D21" s="151">
        <f t="shared" ca="1" si="0"/>
        <v>2008</v>
      </c>
      <c r="E21" s="152">
        <v>0</v>
      </c>
      <c r="F21" s="153">
        <f t="shared" ca="1" si="1"/>
        <v>0</v>
      </c>
      <c r="G21" s="153">
        <f t="shared" ca="1" si="2"/>
        <v>0</v>
      </c>
      <c r="H21" s="138"/>
      <c r="I21" s="154">
        <f t="shared" ca="1" si="3"/>
        <v>64347.389181052102</v>
      </c>
      <c r="J21" s="496">
        <v>1333622.5473083467</v>
      </c>
      <c r="K21" s="155">
        <f t="shared" si="4"/>
        <v>1343915.4296480559</v>
      </c>
      <c r="L21" s="152">
        <f t="shared" si="5"/>
        <v>-10292.882339709206</v>
      </c>
      <c r="M21" s="152"/>
      <c r="N21" s="153">
        <v>0</v>
      </c>
      <c r="O21" s="153">
        <v>0</v>
      </c>
      <c r="P21" s="153">
        <f t="shared" si="6"/>
        <v>0</v>
      </c>
      <c r="Q21" s="509">
        <f t="shared" ca="1" si="7"/>
        <v>20158.305797237837</v>
      </c>
      <c r="R21" s="156">
        <f t="shared" ca="1" si="8"/>
        <v>74212.812638580741</v>
      </c>
      <c r="S21" s="156"/>
      <c r="T21" s="159">
        <f t="shared" ca="1" si="9"/>
        <v>74212.812638580741</v>
      </c>
      <c r="U21" s="515">
        <v>-59139.98889447737</v>
      </c>
      <c r="V21" s="158">
        <f t="shared" ca="1" si="10"/>
        <v>54054.506841342896</v>
      </c>
      <c r="W21" s="138" t="str">
        <f t="shared" si="11"/>
        <v>P.004</v>
      </c>
    </row>
    <row r="22" spans="1:23">
      <c r="A22" s="137" t="s">
        <v>183</v>
      </c>
      <c r="B22" s="135" t="s">
        <v>117</v>
      </c>
      <c r="C22" s="160" t="str">
        <f t="shared" ca="1" si="0"/>
        <v>Catoosa 138 kV Device (Cap. Bank)</v>
      </c>
      <c r="D22" s="151">
        <f t="shared" ca="1" si="0"/>
        <v>2006</v>
      </c>
      <c r="E22" s="152">
        <v>0</v>
      </c>
      <c r="F22" s="153">
        <f t="shared" ca="1" si="1"/>
        <v>0</v>
      </c>
      <c r="G22" s="153">
        <f t="shared" ca="1" si="2"/>
        <v>0</v>
      </c>
      <c r="H22" s="138"/>
      <c r="I22" s="154">
        <f t="shared" ca="1" si="3"/>
        <v>1937.9824712730115</v>
      </c>
      <c r="J22" s="496">
        <v>34219.356726755861</v>
      </c>
      <c r="K22" s="155">
        <f t="shared" si="4"/>
        <v>34483.461299102753</v>
      </c>
      <c r="L22" s="152">
        <f t="shared" si="5"/>
        <v>-264.10457234689238</v>
      </c>
      <c r="M22" s="152"/>
      <c r="N22" s="153">
        <v>0</v>
      </c>
      <c r="O22" s="153">
        <v>0</v>
      </c>
      <c r="P22" s="153">
        <f t="shared" si="6"/>
        <v>0</v>
      </c>
      <c r="Q22" s="509">
        <f t="shared" ca="1" si="7"/>
        <v>624.23180832690764</v>
      </c>
      <c r="R22" s="156">
        <f t="shared" ca="1" si="8"/>
        <v>2298.1097072530265</v>
      </c>
      <c r="S22" s="156"/>
      <c r="T22" s="159">
        <f t="shared" ca="1" si="9"/>
        <v>2298.1097072530265</v>
      </c>
      <c r="U22" s="515">
        <v>-1568.9401113931985</v>
      </c>
      <c r="V22" s="158">
        <f t="shared" ca="1" si="10"/>
        <v>1673.8778989261191</v>
      </c>
      <c r="W22" s="138" t="str">
        <f t="shared" si="11"/>
        <v>P.005</v>
      </c>
    </row>
    <row r="23" spans="1:23">
      <c r="A23" s="135" t="s">
        <v>184</v>
      </c>
      <c r="B23" s="135" t="s">
        <v>117</v>
      </c>
      <c r="C23" s="160" t="str">
        <f t="shared" ca="1" si="0"/>
        <v>Pryor Junction 138/69 Upgrade Transf</v>
      </c>
      <c r="D23" s="151">
        <f t="shared" ca="1" si="0"/>
        <v>2008</v>
      </c>
      <c r="E23" s="152">
        <v>0</v>
      </c>
      <c r="F23" s="153">
        <f t="shared" ca="1" si="1"/>
        <v>0</v>
      </c>
      <c r="G23" s="153">
        <f t="shared" ca="1" si="2"/>
        <v>0</v>
      </c>
      <c r="H23" s="138"/>
      <c r="I23" s="154">
        <f t="shared" ca="1" si="3"/>
        <v>7761.355830086919</v>
      </c>
      <c r="J23" s="496">
        <v>139861.67042354937</v>
      </c>
      <c r="K23" s="155">
        <f t="shared" si="4"/>
        <v>140941.1210675193</v>
      </c>
      <c r="L23" s="152">
        <f t="shared" si="5"/>
        <v>-1079.4506439699326</v>
      </c>
      <c r="M23" s="152"/>
      <c r="N23" s="153">
        <v>0</v>
      </c>
      <c r="O23" s="153">
        <v>0</v>
      </c>
      <c r="P23" s="153">
        <f t="shared" si="6"/>
        <v>0</v>
      </c>
      <c r="Q23" s="509">
        <f t="shared" ca="1" si="7"/>
        <v>2491.8530557543668</v>
      </c>
      <c r="R23" s="156">
        <f t="shared" ca="1" si="8"/>
        <v>9173.7582418713537</v>
      </c>
      <c r="S23" s="156"/>
      <c r="T23" s="159">
        <f t="shared" ca="1" si="9"/>
        <v>9173.7582418713537</v>
      </c>
      <c r="U23" s="515">
        <v>-6152.4843252822275</v>
      </c>
      <c r="V23" s="158">
        <f t="shared" ca="1" si="10"/>
        <v>6681.9051861169864</v>
      </c>
      <c r="W23" s="138" t="str">
        <f t="shared" si="11"/>
        <v>P.006</v>
      </c>
    </row>
    <row r="24" spans="1:23">
      <c r="A24" s="135" t="s">
        <v>185</v>
      </c>
      <c r="B24" s="135" t="s">
        <v>117</v>
      </c>
      <c r="C24" s="160" t="str">
        <f t="shared" ca="1" si="0"/>
        <v>Elk City - Elk City 69 kV line (CT Upgrades)*</v>
      </c>
      <c r="D24" s="151">
        <f t="shared" ca="1" si="0"/>
        <v>2007</v>
      </c>
      <c r="E24" s="152">
        <v>0</v>
      </c>
      <c r="F24" s="153">
        <f t="shared" ca="1" si="1"/>
        <v>0</v>
      </c>
      <c r="G24" s="153">
        <f t="shared" ca="1" si="2"/>
        <v>0</v>
      </c>
      <c r="H24" s="138"/>
      <c r="I24" s="154">
        <f t="shared" ca="1" si="3"/>
        <v>408.46199189326671</v>
      </c>
      <c r="J24" s="496">
        <v>7705.268998362033</v>
      </c>
      <c r="K24" s="155">
        <f t="shared" si="4"/>
        <v>7764.7381692725139</v>
      </c>
      <c r="L24" s="152">
        <f t="shared" si="5"/>
        <v>-59.469170910480898</v>
      </c>
      <c r="M24" s="152"/>
      <c r="N24" s="153">
        <v>0</v>
      </c>
      <c r="O24" s="153">
        <v>0</v>
      </c>
      <c r="P24" s="153">
        <f t="shared" si="6"/>
        <v>0</v>
      </c>
      <c r="Q24" s="509">
        <f t="shared" ca="1" si="7"/>
        <v>130.14833392265766</v>
      </c>
      <c r="R24" s="156">
        <f t="shared" ca="1" si="8"/>
        <v>479.1411549054435</v>
      </c>
      <c r="S24" s="161" t="s">
        <v>224</v>
      </c>
      <c r="T24" s="159">
        <f t="shared" ca="1" si="9"/>
        <v>479.1411549054435</v>
      </c>
      <c r="U24" s="515">
        <v>-341.60911112094999</v>
      </c>
      <c r="V24" s="158">
        <f t="shared" ca="1" si="10"/>
        <v>348.99282098278582</v>
      </c>
      <c r="W24" s="138" t="str">
        <f t="shared" si="11"/>
        <v>P.007</v>
      </c>
    </row>
    <row r="25" spans="1:23" ht="25.5">
      <c r="A25" s="135" t="s">
        <v>186</v>
      </c>
      <c r="B25" s="135" t="s">
        <v>117</v>
      </c>
      <c r="C25" s="160" t="str">
        <f t="shared" ca="1" si="0"/>
        <v>Weleetka &amp; Okmulgee Wavetrap replacement 81-805*</v>
      </c>
      <c r="D25" s="151">
        <f t="shared" ca="1" si="0"/>
        <v>2006</v>
      </c>
      <c r="E25" s="152">
        <v>0</v>
      </c>
      <c r="F25" s="153">
        <f t="shared" ca="1" si="1"/>
        <v>0</v>
      </c>
      <c r="G25" s="153">
        <f t="shared" ca="1" si="2"/>
        <v>0</v>
      </c>
      <c r="H25" s="138"/>
      <c r="I25" s="154">
        <f t="shared" ca="1" si="3"/>
        <v>344.46087583026383</v>
      </c>
      <c r="J25" s="496">
        <v>5030.9767272647387</v>
      </c>
      <c r="K25" s="155">
        <f t="shared" si="4"/>
        <v>5069.8057434748098</v>
      </c>
      <c r="L25" s="152">
        <f t="shared" si="5"/>
        <v>-38.829016210071131</v>
      </c>
      <c r="M25" s="152"/>
      <c r="N25" s="153">
        <v>0</v>
      </c>
      <c r="O25" s="153">
        <v>0</v>
      </c>
      <c r="P25" s="153">
        <f t="shared" si="6"/>
        <v>0</v>
      </c>
      <c r="Q25" s="509">
        <f t="shared" ca="1" si="7"/>
        <v>113.97792427716931</v>
      </c>
      <c r="R25" s="156">
        <f t="shared" ca="1" si="8"/>
        <v>419.60978389736204</v>
      </c>
      <c r="S25" s="161" t="s">
        <v>224</v>
      </c>
      <c r="T25" s="159">
        <f t="shared" ca="1" si="9"/>
        <v>419.60978389736204</v>
      </c>
      <c r="U25" s="515">
        <v>-227.13380359319964</v>
      </c>
      <c r="V25" s="158">
        <f ca="1">+I25+L25+P25</f>
        <v>305.6318596201927</v>
      </c>
      <c r="W25" s="138" t="str">
        <f t="shared" si="11"/>
        <v>P.008</v>
      </c>
    </row>
    <row r="26" spans="1:23">
      <c r="A26" s="135" t="s">
        <v>187</v>
      </c>
      <c r="B26" s="135" t="s">
        <v>117</v>
      </c>
      <c r="C26" s="160" t="str">
        <f t="shared" ca="1" si="0"/>
        <v>Tulsa Southeast Upgrade (repl switches)*</v>
      </c>
      <c r="D26" s="151">
        <f t="shared" ca="1" si="0"/>
        <v>2007</v>
      </c>
      <c r="E26" s="152">
        <v>0</v>
      </c>
      <c r="F26" s="153">
        <f t="shared" ca="1" si="1"/>
        <v>0</v>
      </c>
      <c r="G26" s="153">
        <f t="shared" ca="1" si="2"/>
        <v>0</v>
      </c>
      <c r="H26" s="138"/>
      <c r="I26" s="154">
        <f t="shared" ca="1" si="3"/>
        <v>449.21859317768303</v>
      </c>
      <c r="J26" s="496">
        <v>6644.8515515216577</v>
      </c>
      <c r="K26" s="155">
        <f t="shared" si="4"/>
        <v>6696.1364336816732</v>
      </c>
      <c r="L26" s="152">
        <f t="shared" si="5"/>
        <v>-51.284882160015513</v>
      </c>
      <c r="M26" s="152"/>
      <c r="N26" s="153">
        <v>0</v>
      </c>
      <c r="O26" s="153">
        <v>0</v>
      </c>
      <c r="P26" s="153">
        <f t="shared" si="6"/>
        <v>0</v>
      </c>
      <c r="Q26" s="509">
        <f t="shared" ca="1" si="7"/>
        <v>148.39964144467123</v>
      </c>
      <c r="R26" s="156">
        <f t="shared" ca="1" si="8"/>
        <v>546.33335246233878</v>
      </c>
      <c r="S26" s="161" t="s">
        <v>224</v>
      </c>
      <c r="T26" s="159">
        <f t="shared" ca="1" si="9"/>
        <v>546.33335246233878</v>
      </c>
      <c r="U26" s="515">
        <v>-293.56678931270784</v>
      </c>
      <c r="V26" s="158">
        <f t="shared" ca="1" si="10"/>
        <v>397.93371101766752</v>
      </c>
      <c r="W26" s="138" t="str">
        <f t="shared" ref="W26:W31" si="12">A26</f>
        <v>P.009</v>
      </c>
    </row>
    <row r="27" spans="1:23">
      <c r="A27" s="135" t="s">
        <v>222</v>
      </c>
      <c r="B27" s="135" t="s">
        <v>117</v>
      </c>
      <c r="C27" s="160" t="str">
        <f t="shared" ca="1" si="0"/>
        <v>Wavetrap Clinton City-Foss Tap 69kV Ckt 1*</v>
      </c>
      <c r="D27" s="151">
        <f t="shared" ca="1" si="0"/>
        <v>2010</v>
      </c>
      <c r="E27" s="152">
        <v>0</v>
      </c>
      <c r="F27" s="153">
        <f t="shared" ca="1" si="1"/>
        <v>0</v>
      </c>
      <c r="G27" s="153">
        <f t="shared" ca="1" si="2"/>
        <v>0</v>
      </c>
      <c r="H27" s="138"/>
      <c r="I27" s="154">
        <f t="shared" ca="1" si="3"/>
        <v>554.83807322394932</v>
      </c>
      <c r="J27" s="496">
        <v>9300.2041053638313</v>
      </c>
      <c r="K27" s="155">
        <f t="shared" si="4"/>
        <v>9371.9829657205319</v>
      </c>
      <c r="L27" s="152">
        <f t="shared" si="5"/>
        <v>-71.778860356700534</v>
      </c>
      <c r="M27" s="152"/>
      <c r="N27" s="153">
        <v>0</v>
      </c>
      <c r="O27" s="153">
        <v>0</v>
      </c>
      <c r="P27" s="153">
        <f t="shared" ref="P27:P33" si="13">+N27-O27</f>
        <v>0</v>
      </c>
      <c r="Q27" s="509">
        <f t="shared" ca="1" si="7"/>
        <v>180.14511462905969</v>
      </c>
      <c r="R27" s="156">
        <f t="shared" ca="1" si="8"/>
        <v>663.20432749630845</v>
      </c>
      <c r="S27" s="156"/>
      <c r="T27" s="159">
        <f t="shared" ca="1" si="9"/>
        <v>663.20432749630845</v>
      </c>
      <c r="U27" s="515">
        <v>-390.73990126629462</v>
      </c>
      <c r="V27" s="158">
        <f t="shared" ca="1" si="10"/>
        <v>483.05921286724879</v>
      </c>
      <c r="W27" s="138" t="str">
        <f t="shared" si="12"/>
        <v>P.010</v>
      </c>
    </row>
    <row r="28" spans="1:23">
      <c r="A28" s="137" t="s">
        <v>230</v>
      </c>
      <c r="B28" s="135" t="s">
        <v>117</v>
      </c>
      <c r="C28" s="160" t="str">
        <f t="shared" ca="1" si="0"/>
        <v>Bartlesville SE to Coffeyville T Rebuild</v>
      </c>
      <c r="D28" s="151">
        <f t="shared" ca="1" si="0"/>
        <v>2011</v>
      </c>
      <c r="E28" s="152">
        <v>0</v>
      </c>
      <c r="F28" s="153">
        <f t="shared" ca="1" si="1"/>
        <v>0</v>
      </c>
      <c r="G28" s="153">
        <f t="shared" ref="G28:G33" ca="1" si="14">+E28+F28</f>
        <v>0</v>
      </c>
      <c r="H28" s="138"/>
      <c r="I28" s="154">
        <f t="shared" ca="1" si="3"/>
        <v>7546.5708570564166</v>
      </c>
      <c r="J28" s="496">
        <v>137305.5327371273</v>
      </c>
      <c r="K28" s="155">
        <f t="shared" si="4"/>
        <v>138365.25514202123</v>
      </c>
      <c r="L28" s="152">
        <f t="shared" ref="L28:L33" si="15">+J28-K28</f>
        <v>-1059.7224048939242</v>
      </c>
      <c r="M28" s="152"/>
      <c r="N28" s="153">
        <v>0</v>
      </c>
      <c r="O28" s="153">
        <v>0</v>
      </c>
      <c r="P28" s="153">
        <f t="shared" si="13"/>
        <v>0</v>
      </c>
      <c r="Q28" s="509">
        <f t="shared" ca="1" si="7"/>
        <v>2419.1114191983966</v>
      </c>
      <c r="R28" s="156">
        <f t="shared" ref="R28:R33" ca="1" si="16">I28+L28+P28+Q28</f>
        <v>8905.9598713608884</v>
      </c>
      <c r="S28" s="156"/>
      <c r="T28" s="159">
        <f t="shared" ref="T28:T33" ca="1" si="17">+G28+R28</f>
        <v>8905.9598713608884</v>
      </c>
      <c r="U28" s="515">
        <v>-6044.1271000061452</v>
      </c>
      <c r="V28" s="158">
        <f t="shared" ref="V28:V33" ca="1" si="18">+I28+L28+P28</f>
        <v>6486.8484521624923</v>
      </c>
      <c r="W28" s="138" t="str">
        <f t="shared" si="12"/>
        <v>P.011</v>
      </c>
    </row>
    <row r="29" spans="1:23" ht="25.5">
      <c r="A29" s="137" t="s">
        <v>235</v>
      </c>
      <c r="B29" s="135" t="s">
        <v>117</v>
      </c>
      <c r="C29" s="160" t="str">
        <f t="shared" ca="1" si="0"/>
        <v>Canadian River - McAlester City 138 kV Line Conversion</v>
      </c>
      <c r="D29" s="151">
        <f t="shared" ca="1" si="0"/>
        <v>2013</v>
      </c>
      <c r="E29" s="152">
        <v>0</v>
      </c>
      <c r="F29" s="153">
        <f t="shared" ca="1" si="1"/>
        <v>0</v>
      </c>
      <c r="G29" s="153">
        <f t="shared" ca="1" si="14"/>
        <v>0</v>
      </c>
      <c r="H29" s="138"/>
      <c r="I29" s="154">
        <f t="shared" ca="1" si="3"/>
        <v>53396.810729466903</v>
      </c>
      <c r="J29" s="496">
        <v>344236.10276947787</v>
      </c>
      <c r="K29" s="155">
        <f t="shared" si="4"/>
        <v>346892.91275670967</v>
      </c>
      <c r="L29" s="152">
        <f t="shared" si="15"/>
        <v>-2656.809987231798</v>
      </c>
      <c r="M29" s="152"/>
      <c r="N29" s="153">
        <v>0</v>
      </c>
      <c r="O29" s="153">
        <v>0</v>
      </c>
      <c r="P29" s="153">
        <f t="shared" si="13"/>
        <v>0</v>
      </c>
      <c r="Q29" s="509">
        <f t="shared" ca="1" si="7"/>
        <v>18922.24184222415</v>
      </c>
      <c r="R29" s="156">
        <f t="shared" ca="1" si="16"/>
        <v>69662.242584459251</v>
      </c>
      <c r="S29" s="156"/>
      <c r="T29" s="159">
        <f t="shared" ca="1" si="17"/>
        <v>69662.242584459251</v>
      </c>
      <c r="U29" s="515">
        <v>-13376.292599769846</v>
      </c>
      <c r="V29" s="158">
        <f t="shared" ca="1" si="18"/>
        <v>50740.000742235105</v>
      </c>
      <c r="W29" s="138" t="str">
        <f t="shared" si="12"/>
        <v>P.012</v>
      </c>
    </row>
    <row r="30" spans="1:23" ht="15.75" customHeight="1">
      <c r="A30" s="137" t="s">
        <v>237</v>
      </c>
      <c r="B30" s="135" t="s">
        <v>117</v>
      </c>
      <c r="C30" s="160" t="str">
        <f t="shared" ca="1" si="0"/>
        <v>CoffeyvilleT to Dearing 138 kv Rebuild - 1.1 mi*</v>
      </c>
      <c r="D30" s="151">
        <f t="shared" ca="1" si="0"/>
        <v>2010</v>
      </c>
      <c r="E30" s="152">
        <v>0</v>
      </c>
      <c r="F30" s="153">
        <f t="shared" ca="1" si="1"/>
        <v>0</v>
      </c>
      <c r="G30" s="153">
        <f t="shared" ca="1" si="14"/>
        <v>0</v>
      </c>
      <c r="H30" s="138"/>
      <c r="I30" s="154">
        <f t="shared" ca="1" si="3"/>
        <v>120.15783185780765</v>
      </c>
      <c r="J30" s="496">
        <v>2213.160157883282</v>
      </c>
      <c r="K30" s="155">
        <f t="shared" si="4"/>
        <v>2230.2413006324068</v>
      </c>
      <c r="L30" s="152">
        <f t="shared" si="15"/>
        <v>-17.081142749124865</v>
      </c>
      <c r="M30" s="152"/>
      <c r="N30" s="153">
        <v>0</v>
      </c>
      <c r="O30" s="153">
        <v>0</v>
      </c>
      <c r="P30" s="153">
        <f t="shared" si="13"/>
        <v>0</v>
      </c>
      <c r="Q30" s="509">
        <f t="shared" ca="1" si="7"/>
        <v>38.439929268403283</v>
      </c>
      <c r="R30" s="156">
        <f t="shared" ca="1" si="16"/>
        <v>141.51661837708608</v>
      </c>
      <c r="S30" s="156"/>
      <c r="T30" s="159">
        <f t="shared" ca="1" si="17"/>
        <v>141.51661837708608</v>
      </c>
      <c r="U30" s="515">
        <v>-89.412211319525639</v>
      </c>
      <c r="V30" s="158">
        <f t="shared" ca="1" si="18"/>
        <v>103.07668910868279</v>
      </c>
      <c r="W30" s="138" t="str">
        <f t="shared" si="12"/>
        <v>P.013</v>
      </c>
    </row>
    <row r="31" spans="1:23" ht="15.75" customHeight="1">
      <c r="A31" s="162" t="s">
        <v>240</v>
      </c>
      <c r="B31" s="135" t="s">
        <v>117</v>
      </c>
      <c r="C31" s="160" t="str">
        <f t="shared" ca="1" si="0"/>
        <v>Ashdown West - Craig Junction</v>
      </c>
      <c r="D31" s="151">
        <f t="shared" ca="1" si="0"/>
        <v>2013</v>
      </c>
      <c r="E31" s="152">
        <v>0</v>
      </c>
      <c r="F31" s="153">
        <f t="shared" ca="1" si="1"/>
        <v>0</v>
      </c>
      <c r="G31" s="153">
        <f t="shared" ca="1" si="14"/>
        <v>0</v>
      </c>
      <c r="H31" s="138"/>
      <c r="I31" s="154">
        <f t="shared" ca="1" si="3"/>
        <v>14975.052501801547</v>
      </c>
      <c r="J31" s="496">
        <v>107348.43970756917</v>
      </c>
      <c r="K31" s="155">
        <f t="shared" si="4"/>
        <v>108176.95363865969</v>
      </c>
      <c r="L31" s="152">
        <f t="shared" si="15"/>
        <v>-828.51393109052151</v>
      </c>
      <c r="M31" s="152"/>
      <c r="N31" s="153">
        <v>0</v>
      </c>
      <c r="O31" s="153">
        <v>0</v>
      </c>
      <c r="P31" s="153">
        <f t="shared" si="13"/>
        <v>0</v>
      </c>
      <c r="Q31" s="509">
        <f t="shared" ca="1" si="7"/>
        <v>5275.6054424439581</v>
      </c>
      <c r="R31" s="156">
        <f t="shared" ca="1" si="16"/>
        <v>19422.144013154983</v>
      </c>
      <c r="S31" s="156"/>
      <c r="T31" s="159">
        <f t="shared" ca="1" si="17"/>
        <v>19422.144013154983</v>
      </c>
      <c r="U31" s="515">
        <v>-4190.2065554761921</v>
      </c>
      <c r="V31" s="158">
        <f t="shared" ca="1" si="18"/>
        <v>14146.538570711025</v>
      </c>
      <c r="W31" s="138" t="str">
        <f t="shared" si="12"/>
        <v>P.014</v>
      </c>
    </row>
    <row r="32" spans="1:23" ht="25.5" customHeight="1">
      <c r="A32" s="162" t="s">
        <v>253</v>
      </c>
      <c r="B32" s="135" t="s">
        <v>117</v>
      </c>
      <c r="C32" s="160" t="str">
        <f t="shared" ca="1" si="0"/>
        <v>Locust Grove to Lone Star 115 kV Rebuild 2.1 miles</v>
      </c>
      <c r="D32" s="151">
        <f t="shared" ca="1" si="0"/>
        <v>2014</v>
      </c>
      <c r="E32" s="152">
        <v>0</v>
      </c>
      <c r="F32" s="153">
        <f t="shared" ca="1" si="1"/>
        <v>0</v>
      </c>
      <c r="G32" s="153">
        <f t="shared" ca="1" si="14"/>
        <v>0</v>
      </c>
      <c r="H32" s="138"/>
      <c r="I32" s="154">
        <f t="shared" ca="1" si="3"/>
        <v>13147.512762351049</v>
      </c>
      <c r="J32" s="496">
        <v>232927.65125538709</v>
      </c>
      <c r="K32" s="155">
        <f t="shared" si="4"/>
        <v>234725.38398934199</v>
      </c>
      <c r="L32" s="152">
        <f t="shared" si="15"/>
        <v>-1797.7327339549083</v>
      </c>
      <c r="M32" s="152"/>
      <c r="N32" s="153">
        <v>0</v>
      </c>
      <c r="O32" s="153">
        <v>0</v>
      </c>
      <c r="P32" s="153">
        <f t="shared" si="13"/>
        <v>0</v>
      </c>
      <c r="Q32" s="509">
        <f t="shared" ca="1" si="7"/>
        <v>4232.622771221053</v>
      </c>
      <c r="R32" s="156">
        <f t="shared" ca="1" si="16"/>
        <v>15582.402799617194</v>
      </c>
      <c r="S32" s="156"/>
      <c r="T32" s="159">
        <f t="shared" ca="1" si="17"/>
        <v>15582.402799617194</v>
      </c>
      <c r="U32" s="515">
        <v>-9090.6488167884581</v>
      </c>
      <c r="V32" s="158">
        <f t="shared" ca="1" si="18"/>
        <v>11349.780028396141</v>
      </c>
      <c r="W32" s="138" t="str">
        <f t="shared" ref="W32:W39" si="19">A32</f>
        <v>P.015</v>
      </c>
    </row>
    <row r="33" spans="1:23" ht="15.75" customHeight="1">
      <c r="A33" s="162" t="s">
        <v>254</v>
      </c>
      <c r="B33" s="135" t="s">
        <v>117</v>
      </c>
      <c r="C33" s="160" t="str">
        <f t="shared" ca="1" si="0"/>
        <v>Cornville Station Conversion</v>
      </c>
      <c r="D33" s="151">
        <f t="shared" ca="1" si="0"/>
        <v>2014</v>
      </c>
      <c r="E33" s="152">
        <v>0</v>
      </c>
      <c r="F33" s="153">
        <f t="shared" ca="1" si="1"/>
        <v>0</v>
      </c>
      <c r="G33" s="153">
        <f t="shared" ca="1" si="14"/>
        <v>0</v>
      </c>
      <c r="H33" s="138"/>
      <c r="I33" s="154">
        <f t="shared" ca="1" si="3"/>
        <v>30419.921613525716</v>
      </c>
      <c r="J33" s="496">
        <v>533126.99388450687</v>
      </c>
      <c r="K33" s="155">
        <f t="shared" si="4"/>
        <v>537241.66143512039</v>
      </c>
      <c r="L33" s="152">
        <f t="shared" si="15"/>
        <v>-4114.6675506135216</v>
      </c>
      <c r="M33" s="152"/>
      <c r="N33" s="153">
        <v>0</v>
      </c>
      <c r="O33" s="153">
        <v>0</v>
      </c>
      <c r="P33" s="153">
        <f t="shared" si="13"/>
        <v>0</v>
      </c>
      <c r="Q33" s="509">
        <f t="shared" ca="1" si="7"/>
        <v>9809.9009030019934</v>
      </c>
      <c r="R33" s="156">
        <f t="shared" ca="1" si="16"/>
        <v>36115.154965914189</v>
      </c>
      <c r="S33" s="156"/>
      <c r="T33" s="159">
        <f t="shared" ca="1" si="17"/>
        <v>36115.154965914189</v>
      </c>
      <c r="U33" s="515">
        <v>-20471.613216125057</v>
      </c>
      <c r="V33" s="158">
        <f t="shared" ca="1" si="18"/>
        <v>26305.254062912194</v>
      </c>
      <c r="W33" s="138" t="str">
        <f t="shared" si="19"/>
        <v>P.016</v>
      </c>
    </row>
    <row r="34" spans="1:23">
      <c r="A34" s="162" t="s">
        <v>264</v>
      </c>
      <c r="B34" s="135" t="s">
        <v>117</v>
      </c>
      <c r="C34" s="160" t="str">
        <f t="shared" ca="1" si="0"/>
        <v>Grady Customer Connection</v>
      </c>
      <c r="D34" s="151">
        <f t="shared" ca="1" si="0"/>
        <v>2015</v>
      </c>
      <c r="E34" s="152">
        <v>0</v>
      </c>
      <c r="F34" s="153">
        <f t="shared" ca="1" si="1"/>
        <v>0</v>
      </c>
      <c r="G34" s="153">
        <f t="shared" ref="G34:G39" ca="1" si="20">+E34+F34</f>
        <v>0</v>
      </c>
      <c r="H34" s="138"/>
      <c r="I34" s="154">
        <f t="shared" ca="1" si="3"/>
        <v>10380.916934994282</v>
      </c>
      <c r="J34" s="496">
        <v>181734.44860241737</v>
      </c>
      <c r="K34" s="155">
        <f t="shared" si="4"/>
        <v>183137.07283092343</v>
      </c>
      <c r="L34" s="152">
        <f t="shared" ref="L34:L39" si="21">+J34-K34</f>
        <v>-1402.624228506058</v>
      </c>
      <c r="M34" s="152"/>
      <c r="N34" s="153">
        <v>0</v>
      </c>
      <c r="O34" s="153">
        <v>0</v>
      </c>
      <c r="P34" s="153">
        <f t="shared" ref="P34:P39" si="22">+N34-O34</f>
        <v>0</v>
      </c>
      <c r="Q34" s="509">
        <f t="shared" ca="1" si="7"/>
        <v>3348.2345967140345</v>
      </c>
      <c r="R34" s="156">
        <f t="shared" ref="R34:R39" ca="1" si="23">I34+L34+P34+Q34</f>
        <v>12326.52730320226</v>
      </c>
      <c r="S34" s="156"/>
      <c r="T34" s="159">
        <f t="shared" ref="T34:T39" ca="1" si="24">+G34+R34</f>
        <v>12326.52730320226</v>
      </c>
      <c r="U34" s="516">
        <v>-6846.5191308129461</v>
      </c>
      <c r="V34" s="158">
        <f t="shared" ref="V34:V39" ca="1" si="25">+I34+L34+P34</f>
        <v>8978.2927064882242</v>
      </c>
      <c r="W34" s="138" t="str">
        <f t="shared" si="19"/>
        <v>P.017</v>
      </c>
    </row>
    <row r="35" spans="1:23">
      <c r="A35" s="162" t="s">
        <v>265</v>
      </c>
      <c r="B35" s="135" t="s">
        <v>117</v>
      </c>
      <c r="C35" s="160" t="str">
        <f t="shared" ca="1" si="0"/>
        <v>Darlington-Red Rock 138 kV line</v>
      </c>
      <c r="D35" s="151">
        <f t="shared" ca="1" si="0"/>
        <v>2014</v>
      </c>
      <c r="E35" s="152">
        <v>0</v>
      </c>
      <c r="F35" s="163">
        <f t="shared" ca="1" si="1"/>
        <v>0</v>
      </c>
      <c r="G35" s="163">
        <f t="shared" ca="1" si="20"/>
        <v>0</v>
      </c>
      <c r="H35" s="138"/>
      <c r="I35" s="154">
        <f t="shared" ca="1" si="3"/>
        <v>12761.178206230339</v>
      </c>
      <c r="J35" s="496">
        <v>182468.68879142581</v>
      </c>
      <c r="K35" s="164">
        <f t="shared" si="4"/>
        <v>183876.97987663714</v>
      </c>
      <c r="L35" s="165">
        <f t="shared" si="21"/>
        <v>-1408.2910852113273</v>
      </c>
      <c r="M35" s="165"/>
      <c r="N35" s="163">
        <v>0</v>
      </c>
      <c r="O35" s="163">
        <v>0</v>
      </c>
      <c r="P35" s="163">
        <f t="shared" si="22"/>
        <v>0</v>
      </c>
      <c r="Q35" s="510">
        <f t="shared" ca="1" si="7"/>
        <v>4233.7814853948039</v>
      </c>
      <c r="R35" s="166">
        <f t="shared" ca="1" si="23"/>
        <v>15586.668606413816</v>
      </c>
      <c r="S35" s="166"/>
      <c r="T35" s="167">
        <f t="shared" ca="1" si="24"/>
        <v>15586.668606413816</v>
      </c>
      <c r="U35" s="516">
        <v>-6982.5729387204356</v>
      </c>
      <c r="V35" s="158">
        <f t="shared" ca="1" si="25"/>
        <v>11352.887121019012</v>
      </c>
      <c r="W35" s="138" t="str">
        <f t="shared" si="19"/>
        <v>P.018</v>
      </c>
    </row>
    <row r="36" spans="1:23">
      <c r="A36" s="162" t="s">
        <v>270</v>
      </c>
      <c r="B36" s="135" t="s">
        <v>117</v>
      </c>
      <c r="C36" s="160" t="str">
        <f t="shared" ca="1" si="0"/>
        <v>Valliant-NW Texarkana 345 kV</v>
      </c>
      <c r="D36" s="151">
        <f t="shared" ca="1" si="0"/>
        <v>2017</v>
      </c>
      <c r="E36" s="152">
        <v>0</v>
      </c>
      <c r="F36" s="163">
        <f t="shared" ca="1" si="1"/>
        <v>0</v>
      </c>
      <c r="G36" s="163">
        <f t="shared" ca="1" si="20"/>
        <v>0</v>
      </c>
      <c r="H36" s="138"/>
      <c r="I36" s="154">
        <f t="shared" ca="1" si="3"/>
        <v>6666.109864507278</v>
      </c>
      <c r="J36" s="496">
        <v>147278.69035030637</v>
      </c>
      <c r="K36" s="164">
        <f t="shared" si="4"/>
        <v>148415.38546241418</v>
      </c>
      <c r="L36" s="165">
        <f t="shared" si="21"/>
        <v>-1136.6951121078164</v>
      </c>
      <c r="M36" s="165"/>
      <c r="N36" s="163">
        <v>0</v>
      </c>
      <c r="O36" s="163">
        <v>0</v>
      </c>
      <c r="P36" s="163">
        <f t="shared" si="22"/>
        <v>0</v>
      </c>
      <c r="Q36" s="510">
        <f t="shared" ca="1" si="7"/>
        <v>2062.0599460057406</v>
      </c>
      <c r="R36" s="166">
        <f t="shared" ca="1" si="23"/>
        <v>7591.4746984052017</v>
      </c>
      <c r="S36" s="166"/>
      <c r="T36" s="167">
        <f t="shared" ca="1" si="24"/>
        <v>7591.4746984052017</v>
      </c>
      <c r="U36" s="516">
        <v>-5417.9741974519984</v>
      </c>
      <c r="V36" s="158">
        <f t="shared" ca="1" si="25"/>
        <v>5529.4147523994616</v>
      </c>
      <c r="W36" s="138" t="str">
        <f t="shared" si="19"/>
        <v>P.019</v>
      </c>
    </row>
    <row r="37" spans="1:23">
      <c r="A37" s="162" t="s">
        <v>271</v>
      </c>
      <c r="B37" s="135" t="s">
        <v>117</v>
      </c>
      <c r="C37" s="160" t="str">
        <f t="shared" ca="1" si="0"/>
        <v>Sayre 138 kV Capacitor Bank Addition</v>
      </c>
      <c r="D37" s="151">
        <f t="shared" ca="1" si="0"/>
        <v>2018</v>
      </c>
      <c r="E37" s="152">
        <v>0</v>
      </c>
      <c r="F37" s="153">
        <f t="shared" ca="1" si="1"/>
        <v>0</v>
      </c>
      <c r="G37" s="153">
        <f t="shared" ca="1" si="20"/>
        <v>0</v>
      </c>
      <c r="H37" s="138"/>
      <c r="I37" s="154">
        <f t="shared" ca="1" si="3"/>
        <v>9214.8015743022843</v>
      </c>
      <c r="J37" s="496">
        <v>223638.00993946852</v>
      </c>
      <c r="K37" s="164">
        <f t="shared" si="4"/>
        <v>225364.04533654515</v>
      </c>
      <c r="L37" s="165">
        <f t="shared" si="21"/>
        <v>-1726.03539707663</v>
      </c>
      <c r="M37" s="165"/>
      <c r="N37" s="163">
        <v>0</v>
      </c>
      <c r="O37" s="163">
        <v>0</v>
      </c>
      <c r="P37" s="163">
        <f t="shared" si="22"/>
        <v>0</v>
      </c>
      <c r="Q37" s="510">
        <f t="shared" ca="1" si="7"/>
        <v>2792.7521212545053</v>
      </c>
      <c r="R37" s="166">
        <f t="shared" ca="1" si="23"/>
        <v>10281.51829848016</v>
      </c>
      <c r="S37" s="166"/>
      <c r="T37" s="167">
        <f t="shared" ca="1" si="24"/>
        <v>10281.51829848016</v>
      </c>
      <c r="U37" s="516">
        <v>-7935.786784031774</v>
      </c>
      <c r="V37" s="158">
        <f t="shared" ca="1" si="25"/>
        <v>7488.7661772256542</v>
      </c>
      <c r="W37" s="138" t="str">
        <f t="shared" si="19"/>
        <v>P.020</v>
      </c>
    </row>
    <row r="38" spans="1:23">
      <c r="A38" s="162" t="s">
        <v>272</v>
      </c>
      <c r="B38" s="135" t="s">
        <v>117</v>
      </c>
      <c r="C38" s="160" t="str">
        <f t="shared" ca="1" si="0"/>
        <v>Darlington-Roman Nose 138 kV</v>
      </c>
      <c r="D38" s="151">
        <f t="shared" ca="1" si="0"/>
        <v>2017</v>
      </c>
      <c r="E38" s="152">
        <v>0</v>
      </c>
      <c r="F38" s="153">
        <f t="shared" ca="1" si="1"/>
        <v>0</v>
      </c>
      <c r="G38" s="153">
        <f t="shared" ca="1" si="20"/>
        <v>0</v>
      </c>
      <c r="H38" s="138"/>
      <c r="I38" s="154">
        <f t="shared" ca="1" si="3"/>
        <v>1203.1599059069486</v>
      </c>
      <c r="J38" s="496">
        <v>36473.28707257779</v>
      </c>
      <c r="K38" s="164">
        <f t="shared" si="4"/>
        <v>36754.787451480493</v>
      </c>
      <c r="L38" s="165">
        <f t="shared" si="21"/>
        <v>-281.50037890270323</v>
      </c>
      <c r="M38" s="165"/>
      <c r="N38" s="163">
        <v>0</v>
      </c>
      <c r="O38" s="163">
        <v>0</v>
      </c>
      <c r="P38" s="163">
        <f t="shared" si="22"/>
        <v>0</v>
      </c>
      <c r="Q38" s="510">
        <f t="shared" ca="1" si="7"/>
        <v>343.71037073414158</v>
      </c>
      <c r="R38" s="166">
        <f t="shared" ca="1" si="23"/>
        <v>1265.369897738387</v>
      </c>
      <c r="S38" s="166"/>
      <c r="T38" s="167">
        <f t="shared" ca="1" si="24"/>
        <v>1265.369897738387</v>
      </c>
      <c r="U38" s="516">
        <v>-1338.8256040236304</v>
      </c>
      <c r="V38" s="158">
        <f t="shared" ca="1" si="25"/>
        <v>921.65952700424532</v>
      </c>
      <c r="W38" s="138" t="str">
        <f t="shared" si="19"/>
        <v>P.021</v>
      </c>
    </row>
    <row r="39" spans="1:23">
      <c r="A39" s="162" t="s">
        <v>273</v>
      </c>
      <c r="B39" s="135" t="s">
        <v>117</v>
      </c>
      <c r="C39" s="160" t="str">
        <f t="shared" ca="1" si="0"/>
        <v>Northeastern Station 138 kV Terminal Upgrades</v>
      </c>
      <c r="D39" s="151">
        <f t="shared" ca="1" si="0"/>
        <v>2018</v>
      </c>
      <c r="E39" s="152">
        <v>0</v>
      </c>
      <c r="F39" s="153">
        <f t="shared" ca="1" si="1"/>
        <v>0</v>
      </c>
      <c r="G39" s="153">
        <f t="shared" ca="1" si="20"/>
        <v>0</v>
      </c>
      <c r="H39" s="138"/>
      <c r="I39" s="154">
        <f t="shared" ca="1" si="3"/>
        <v>1270.5228423651897</v>
      </c>
      <c r="J39" s="496">
        <v>27559.29884960183</v>
      </c>
      <c r="K39" s="164">
        <f t="shared" si="4"/>
        <v>27772.001177555387</v>
      </c>
      <c r="L39" s="165">
        <f t="shared" si="21"/>
        <v>-212.70232795355696</v>
      </c>
      <c r="M39" s="165"/>
      <c r="N39" s="163">
        <v>0</v>
      </c>
      <c r="O39" s="163">
        <v>0</v>
      </c>
      <c r="P39" s="163">
        <f t="shared" si="22"/>
        <v>0</v>
      </c>
      <c r="Q39" s="510">
        <f t="shared" ca="1" si="7"/>
        <v>394.48827959321682</v>
      </c>
      <c r="R39" s="166">
        <f t="shared" ca="1" si="23"/>
        <v>1452.3087940048495</v>
      </c>
      <c r="S39" s="166"/>
      <c r="T39" s="167">
        <f t="shared" ca="1" si="24"/>
        <v>1452.3087940048495</v>
      </c>
      <c r="U39" s="516">
        <v>-987.30956971372825</v>
      </c>
      <c r="V39" s="158">
        <f t="shared" ca="1" si="25"/>
        <v>1057.8205144116328</v>
      </c>
      <c r="W39" s="138" t="str">
        <f t="shared" si="19"/>
        <v>P.022</v>
      </c>
    </row>
    <row r="40" spans="1:23">
      <c r="A40" s="162" t="s">
        <v>305</v>
      </c>
      <c r="B40" s="135" t="s">
        <v>117</v>
      </c>
      <c r="C40" s="160" t="str">
        <f t="shared" ca="1" si="0"/>
        <v>Elk City 138KV Move Load</v>
      </c>
      <c r="D40" s="151">
        <f t="shared" ca="1" si="0"/>
        <v>2018</v>
      </c>
      <c r="E40" s="152">
        <v>0</v>
      </c>
      <c r="F40" s="153">
        <f t="shared" ca="1" si="1"/>
        <v>0</v>
      </c>
      <c r="G40" s="153">
        <f t="shared" ref="G40:G45" ca="1" si="26">+E40+F40</f>
        <v>0</v>
      </c>
      <c r="H40" s="138"/>
      <c r="I40" s="154">
        <f t="shared" ca="1" si="3"/>
        <v>8554.3862460262608</v>
      </c>
      <c r="J40" s="496">
        <v>131515.56038303132</v>
      </c>
      <c r="K40" s="164">
        <f t="shared" si="4"/>
        <v>132530.59585284669</v>
      </c>
      <c r="L40" s="165">
        <f t="shared" ref="L40:L45" si="27">+J40-K40</f>
        <v>-1015.0354698153678</v>
      </c>
      <c r="M40" s="165"/>
      <c r="N40" s="163">
        <v>0</v>
      </c>
      <c r="O40" s="163">
        <v>0</v>
      </c>
      <c r="P40" s="163">
        <f t="shared" ref="P40:P45" si="28">+N40-O40</f>
        <v>0</v>
      </c>
      <c r="Q40" s="510">
        <f t="shared" ca="1" si="7"/>
        <v>2811.6164098136078</v>
      </c>
      <c r="R40" s="166">
        <f t="shared" ref="R40:R45" ca="1" si="29">I40+L40+P40+Q40</f>
        <v>10350.9671860245</v>
      </c>
      <c r="S40" s="166"/>
      <c r="T40" s="167">
        <f t="shared" ref="T40:T45" ca="1" si="30">+G40+R40</f>
        <v>10350.9671860245</v>
      </c>
      <c r="U40" s="516">
        <v>-4716.3980867394639</v>
      </c>
      <c r="V40" s="158">
        <f t="shared" ref="V40:V46" ca="1" si="31">+I40+L40+P40</f>
        <v>7539.3507762108929</v>
      </c>
      <c r="W40" s="138" t="str">
        <f t="shared" ref="W40:W46" si="32">A40</f>
        <v>P.023</v>
      </c>
    </row>
    <row r="41" spans="1:23">
      <c r="A41" s="162" t="s">
        <v>306</v>
      </c>
      <c r="B41" s="135" t="s">
        <v>117</v>
      </c>
      <c r="C41" s="160" t="str">
        <f t="shared" ca="1" si="0"/>
        <v>Duncan-Comanche Tap 69 KV Rebuild</v>
      </c>
      <c r="D41" s="151">
        <f t="shared" ca="1" si="0"/>
        <v>2018</v>
      </c>
      <c r="E41" s="152">
        <v>0</v>
      </c>
      <c r="F41" s="153">
        <f t="shared" ca="1" si="1"/>
        <v>0</v>
      </c>
      <c r="G41" s="153">
        <f t="shared" ca="1" si="26"/>
        <v>0</v>
      </c>
      <c r="H41" s="138"/>
      <c r="I41" s="154">
        <f t="shared" ca="1" si="3"/>
        <v>6404.6637718083221</v>
      </c>
      <c r="J41" s="496">
        <v>151753.79104289401</v>
      </c>
      <c r="K41" s="164">
        <f t="shared" si="4"/>
        <v>152925.0249268456</v>
      </c>
      <c r="L41" s="165">
        <f t="shared" si="27"/>
        <v>-1171.2338839515869</v>
      </c>
      <c r="M41" s="165"/>
      <c r="N41" s="163">
        <v>0</v>
      </c>
      <c r="O41" s="163">
        <v>0</v>
      </c>
      <c r="P41" s="163">
        <f t="shared" si="28"/>
        <v>0</v>
      </c>
      <c r="Q41" s="510">
        <f t="shared" ca="1" si="7"/>
        <v>1951.6796325136777</v>
      </c>
      <c r="R41" s="166">
        <f t="shared" ca="1" si="29"/>
        <v>7185.1095203704126</v>
      </c>
      <c r="S41" s="166"/>
      <c r="T41" s="167">
        <f t="shared" ca="1" si="30"/>
        <v>7185.1095203704126</v>
      </c>
      <c r="U41" s="516">
        <v>-5443.8899002152812</v>
      </c>
      <c r="V41" s="158">
        <f t="shared" ca="1" si="31"/>
        <v>5233.4298878567351</v>
      </c>
      <c r="W41" s="138" t="str">
        <f t="shared" si="32"/>
        <v>P.024</v>
      </c>
    </row>
    <row r="42" spans="1:23">
      <c r="A42" s="162" t="s">
        <v>311</v>
      </c>
      <c r="B42" s="135" t="s">
        <v>117</v>
      </c>
      <c r="C42" s="160" t="str">
        <f t="shared" ca="1" si="0"/>
        <v>Fort Towson-Valliant Line Rebuild</v>
      </c>
      <c r="D42" s="151">
        <f t="shared" ca="1" si="0"/>
        <v>2018</v>
      </c>
      <c r="E42" s="152">
        <v>0</v>
      </c>
      <c r="F42" s="153">
        <f t="shared" ca="1" si="1"/>
        <v>0</v>
      </c>
      <c r="G42" s="153">
        <f t="shared" ca="1" si="26"/>
        <v>0</v>
      </c>
      <c r="H42" s="138"/>
      <c r="I42" s="154">
        <f t="shared" ca="1" si="3"/>
        <v>2948.1290361774954</v>
      </c>
      <c r="J42" s="496">
        <v>32938.484785738401</v>
      </c>
      <c r="K42" s="164">
        <f t="shared" si="4"/>
        <v>33192.703604273062</v>
      </c>
      <c r="L42" s="165">
        <f t="shared" si="27"/>
        <v>-254.21881853466039</v>
      </c>
      <c r="M42" s="165"/>
      <c r="N42" s="163">
        <v>0</v>
      </c>
      <c r="O42" s="163">
        <v>0</v>
      </c>
      <c r="P42" s="163">
        <f t="shared" si="28"/>
        <v>0</v>
      </c>
      <c r="Q42" s="510">
        <f t="shared" ca="1" si="7"/>
        <v>1004.6279048838454</v>
      </c>
      <c r="R42" s="166">
        <f t="shared" ca="1" si="29"/>
        <v>3698.5381225266806</v>
      </c>
      <c r="S42" s="166"/>
      <c r="T42" s="167">
        <f t="shared" ca="1" si="30"/>
        <v>3698.5381225266806</v>
      </c>
      <c r="U42" s="516">
        <v>-1168.8272433757365</v>
      </c>
      <c r="V42" s="158">
        <f t="shared" ca="1" si="31"/>
        <v>2693.9102176428351</v>
      </c>
      <c r="W42" s="138" t="str">
        <f t="shared" si="32"/>
        <v>P.025</v>
      </c>
    </row>
    <row r="43" spans="1:23">
      <c r="A43" s="162" t="s">
        <v>325</v>
      </c>
      <c r="B43" s="135" t="s">
        <v>117</v>
      </c>
      <c r="C43" s="160" t="str">
        <f t="shared" ca="1" si="0"/>
        <v>Tulsa Southeast - E. 61st St 138 kV Rebuild</v>
      </c>
      <c r="D43" s="151">
        <f t="shared" ca="1" si="0"/>
        <v>2019</v>
      </c>
      <c r="E43" s="152">
        <v>0</v>
      </c>
      <c r="F43" s="153">
        <f t="shared" ca="1" si="1"/>
        <v>0</v>
      </c>
      <c r="G43" s="153">
        <f t="shared" ca="1" si="26"/>
        <v>0</v>
      </c>
      <c r="H43" s="138"/>
      <c r="I43" s="154">
        <f t="shared" ca="1" si="3"/>
        <v>44746.495605125325</v>
      </c>
      <c r="J43" s="496">
        <v>954497.28808593389</v>
      </c>
      <c r="K43" s="164">
        <f t="shared" si="4"/>
        <v>961864.08636005502</v>
      </c>
      <c r="L43" s="165">
        <f t="shared" si="27"/>
        <v>-7366.7982741211308</v>
      </c>
      <c r="M43" s="165"/>
      <c r="N43" s="163">
        <v>0</v>
      </c>
      <c r="O43" s="163">
        <v>0</v>
      </c>
      <c r="P43" s="163">
        <f t="shared" si="28"/>
        <v>0</v>
      </c>
      <c r="Q43" s="510">
        <f t="shared" ca="1" si="7"/>
        <v>13939.843566018144</v>
      </c>
      <c r="R43" s="166">
        <f t="shared" ca="1" si="29"/>
        <v>51319.540897022336</v>
      </c>
      <c r="S43" s="166"/>
      <c r="T43" s="167">
        <f t="shared" ca="1" si="30"/>
        <v>51319.540897022336</v>
      </c>
      <c r="U43" s="516">
        <v>-32966.739429747184</v>
      </c>
      <c r="V43" s="158">
        <f t="shared" ca="1" si="31"/>
        <v>37379.697331004194</v>
      </c>
      <c r="W43" s="138" t="str">
        <f t="shared" si="32"/>
        <v>P.026</v>
      </c>
    </row>
    <row r="44" spans="1:23">
      <c r="A44" s="162" t="s">
        <v>326</v>
      </c>
      <c r="B44" s="135" t="s">
        <v>117</v>
      </c>
      <c r="C44" s="160" t="str">
        <f t="shared" ca="1" si="0"/>
        <v>Broken Arrow North-Lynn Lane East 138 kV</v>
      </c>
      <c r="D44" s="151">
        <f t="shared" ca="1" si="0"/>
        <v>2019</v>
      </c>
      <c r="E44" s="152">
        <v>0</v>
      </c>
      <c r="F44" s="153">
        <f t="shared" ca="1" si="1"/>
        <v>0</v>
      </c>
      <c r="G44" s="153">
        <f t="shared" ca="1" si="26"/>
        <v>0</v>
      </c>
      <c r="H44" s="138"/>
      <c r="I44" s="154">
        <f t="shared" ca="1" si="3"/>
        <v>14835.030271842727</v>
      </c>
      <c r="J44" s="496">
        <v>578564.57185581245</v>
      </c>
      <c r="K44" s="164">
        <f t="shared" si="4"/>
        <v>583029.92607170762</v>
      </c>
      <c r="L44" s="165">
        <f t="shared" si="27"/>
        <v>-4465.354215895175</v>
      </c>
      <c r="M44" s="165"/>
      <c r="N44" s="163">
        <v>0</v>
      </c>
      <c r="O44" s="163">
        <v>0</v>
      </c>
      <c r="P44" s="163">
        <f t="shared" si="28"/>
        <v>0</v>
      </c>
      <c r="Q44" s="510">
        <f t="shared" ref="Q44:Q52" ca="1" si="33">+V44/$V$55 * $Q$55</f>
        <v>3867.116974494495</v>
      </c>
      <c r="R44" s="166">
        <f t="shared" ca="1" si="29"/>
        <v>14236.793030442046</v>
      </c>
      <c r="S44" s="166"/>
      <c r="T44" s="167">
        <f t="shared" ca="1" si="30"/>
        <v>14236.793030442046</v>
      </c>
      <c r="U44" s="516">
        <v>-20468.823581028537</v>
      </c>
      <c r="V44" s="158">
        <f t="shared" ca="1" si="31"/>
        <v>10369.676055947552</v>
      </c>
      <c r="W44" s="138" t="str">
        <f t="shared" si="32"/>
        <v>P.027</v>
      </c>
    </row>
    <row r="45" spans="1:23">
      <c r="A45" s="162" t="s">
        <v>332</v>
      </c>
      <c r="B45" s="135" t="s">
        <v>117</v>
      </c>
      <c r="C45" s="160" t="str">
        <f t="shared" ca="1" si="0"/>
        <v>Keystone Dam - Wekiwa 138 kV</v>
      </c>
      <c r="D45" s="151">
        <f t="shared" ca="1" si="0"/>
        <v>2020</v>
      </c>
      <c r="E45" s="152">
        <v>0</v>
      </c>
      <c r="F45" s="153">
        <f t="shared" ca="1" si="1"/>
        <v>0</v>
      </c>
      <c r="G45" s="153">
        <f t="shared" ca="1" si="26"/>
        <v>0</v>
      </c>
      <c r="H45" s="138"/>
      <c r="I45" s="154">
        <f t="shared" ca="1" si="3"/>
        <v>15663.596454654064</v>
      </c>
      <c r="J45" s="496">
        <v>260130.07319996486</v>
      </c>
      <c r="K45" s="164">
        <f t="shared" si="4"/>
        <v>262137.7538903305</v>
      </c>
      <c r="L45" s="165">
        <f t="shared" si="27"/>
        <v>-2007.6806903656397</v>
      </c>
      <c r="M45" s="165"/>
      <c r="N45" s="163">
        <v>0</v>
      </c>
      <c r="O45" s="163">
        <v>0</v>
      </c>
      <c r="P45" s="163">
        <f t="shared" si="28"/>
        <v>0</v>
      </c>
      <c r="Q45" s="510">
        <f t="shared" ca="1" si="33"/>
        <v>5092.6396706537407</v>
      </c>
      <c r="R45" s="166">
        <f t="shared" ca="1" si="29"/>
        <v>18748.555434942165</v>
      </c>
      <c r="S45" s="166"/>
      <c r="T45" s="167">
        <f t="shared" ca="1" si="30"/>
        <v>18748.555434942165</v>
      </c>
      <c r="U45" s="516">
        <v>-9688.3911985944778</v>
      </c>
      <c r="V45" s="158">
        <f t="shared" ca="1" si="31"/>
        <v>13655.915764288424</v>
      </c>
      <c r="W45" s="138" t="str">
        <f t="shared" si="32"/>
        <v>P.028</v>
      </c>
    </row>
    <row r="46" spans="1:23">
      <c r="A46" s="162" t="s">
        <v>338</v>
      </c>
      <c r="B46" s="135" t="s">
        <v>117</v>
      </c>
      <c r="C46" s="160" t="str">
        <f t="shared" ca="1" si="0"/>
        <v>Tulsa SE - S Hudson 138 kV</v>
      </c>
      <c r="D46" s="151">
        <f t="shared" ca="1" si="0"/>
        <v>2022</v>
      </c>
      <c r="E46" s="152"/>
      <c r="F46" s="153"/>
      <c r="G46" s="153"/>
      <c r="H46" s="138"/>
      <c r="I46" s="154">
        <f t="shared" ca="1" si="3"/>
        <v>-268.54398834977383</v>
      </c>
      <c r="J46" s="496">
        <v>10831.887821913988</v>
      </c>
      <c r="K46" s="164">
        <f t="shared" ref="K46" si="34">J46/J$55*K$55</f>
        <v>10915.488198267039</v>
      </c>
      <c r="L46" s="165">
        <f t="shared" ref="L46" si="35">+J46-K46</f>
        <v>-83.600376353051615</v>
      </c>
      <c r="M46" s="165"/>
      <c r="N46" s="163"/>
      <c r="O46" s="163"/>
      <c r="P46" s="163"/>
      <c r="Q46" s="510">
        <f t="shared" ca="1" si="33"/>
        <v>-131.32362504553095</v>
      </c>
      <c r="R46" s="166">
        <f t="shared" ref="R46" ca="1" si="36">I46+L46+P46+Q46</f>
        <v>-483.46798974835639</v>
      </c>
      <c r="S46" s="166"/>
      <c r="T46" s="167">
        <f t="shared" ref="T46" ca="1" si="37">+G46+R46</f>
        <v>-483.46798974835639</v>
      </c>
      <c r="U46" s="516">
        <v>-153.20531738175126</v>
      </c>
      <c r="V46" s="158">
        <f t="shared" ca="1" si="31"/>
        <v>-352.14436470282544</v>
      </c>
      <c r="W46" s="138" t="str">
        <f t="shared" si="32"/>
        <v>P.029</v>
      </c>
    </row>
    <row r="47" spans="1:23">
      <c r="A47" s="162" t="s">
        <v>346</v>
      </c>
      <c r="B47" s="135" t="s">
        <v>117</v>
      </c>
      <c r="C47" s="160" t="str">
        <f t="shared" ca="1" si="0"/>
        <v>Tulsa SE - E 21st St Tap 138 kV</v>
      </c>
      <c r="D47" s="151">
        <f t="shared" ca="1" si="0"/>
        <v>2021</v>
      </c>
      <c r="E47" s="152"/>
      <c r="F47" s="153"/>
      <c r="G47" s="153"/>
      <c r="H47" s="138"/>
      <c r="I47" s="154">
        <f t="shared" ca="1" si="3"/>
        <v>-12467.022225489287</v>
      </c>
      <c r="J47" s="496">
        <v>195620.44073151896</v>
      </c>
      <c r="K47" s="164">
        <f t="shared" ref="K47" si="38">J47/J$55*K$55</f>
        <v>197130.23687567943</v>
      </c>
      <c r="L47" s="165">
        <f t="shared" ref="L47" si="39">+J47-K47</f>
        <v>-1509.7961441604712</v>
      </c>
      <c r="M47" s="165"/>
      <c r="N47" s="163"/>
      <c r="O47" s="163"/>
      <c r="P47" s="163"/>
      <c r="Q47" s="510">
        <f t="shared" ca="1" si="33"/>
        <v>-5212.3124459320552</v>
      </c>
      <c r="R47" s="166">
        <f t="shared" ref="R47" ca="1" si="40">I47+L47+P47+Q47</f>
        <v>-19189.130815581811</v>
      </c>
      <c r="S47" s="166"/>
      <c r="T47" s="167">
        <f t="shared" ref="T47" ca="1" si="41">+G47+R47</f>
        <v>-19189.130815581811</v>
      </c>
      <c r="U47" s="506">
        <v>-7375.6774868697021</v>
      </c>
      <c r="V47" s="158">
        <f t="shared" ref="V47" ca="1" si="42">+I47+L47+P47</f>
        <v>-13976.818369649758</v>
      </c>
      <c r="W47" s="138" t="str">
        <f t="shared" ref="W47" si="43">A47</f>
        <v>P.030</v>
      </c>
    </row>
    <row r="48" spans="1:23">
      <c r="A48" s="162" t="s">
        <v>347</v>
      </c>
      <c r="B48" s="135" t="s">
        <v>117</v>
      </c>
      <c r="C48" s="160" t="str">
        <f t="shared" ca="1" si="0"/>
        <v>Pryor Junction 138/115 kV</v>
      </c>
      <c r="D48" s="151">
        <f t="shared" ca="1" si="0"/>
        <v>2022</v>
      </c>
      <c r="E48" s="152"/>
      <c r="F48" s="153"/>
      <c r="G48" s="153"/>
      <c r="H48" s="138"/>
      <c r="I48" s="154">
        <f t="shared" ca="1" si="3"/>
        <v>-519.36713994194724</v>
      </c>
      <c r="J48" s="496">
        <v>8118.7809661730398</v>
      </c>
      <c r="K48" s="164">
        <f t="shared" ref="K48:K52" si="44">J48/J$55*K$55</f>
        <v>8181.4416173410573</v>
      </c>
      <c r="L48" s="165">
        <f t="shared" ref="L48:L49" si="45">+J48-K48</f>
        <v>-62.660651168017466</v>
      </c>
      <c r="M48" s="165"/>
      <c r="N48" s="163"/>
      <c r="O48" s="163"/>
      <c r="P48" s="163"/>
      <c r="Q48" s="510">
        <f t="shared" ca="1" si="33"/>
        <v>-217.0530244614485</v>
      </c>
      <c r="R48" s="166">
        <f t="shared" ref="R48" ca="1" si="46">I48+L48+P48+Q48</f>
        <v>-799.08081557141327</v>
      </c>
      <c r="S48" s="166"/>
      <c r="T48" s="167">
        <f t="shared" ref="T48" ca="1" si="47">+G48+R48</f>
        <v>-799.08081557141327</v>
      </c>
      <c r="U48" s="506">
        <v>-287.16020225644655</v>
      </c>
      <c r="V48" s="158">
        <f t="shared" ref="V48" ca="1" si="48">+I48+L48+P48</f>
        <v>-582.02779110996471</v>
      </c>
      <c r="W48" s="138" t="str">
        <f t="shared" ref="W48:W53" si="49">A48</f>
        <v>P.031</v>
      </c>
    </row>
    <row r="49" spans="1:23">
      <c r="A49" s="162" t="s">
        <v>368</v>
      </c>
      <c r="B49" s="135" t="s">
        <v>117</v>
      </c>
      <c r="C49" s="160" t="str">
        <f t="shared" ca="1" si="0"/>
        <v>Catoosa-Blue Circle Rebuild</v>
      </c>
      <c r="D49" s="151">
        <f t="shared" ca="1" si="0"/>
        <v>2024</v>
      </c>
      <c r="E49" s="152"/>
      <c r="F49" s="153"/>
      <c r="G49" s="153"/>
      <c r="H49" s="138"/>
      <c r="I49" s="154">
        <f t="shared" ca="1" si="3"/>
        <v>202061.13628157647</v>
      </c>
      <c r="J49" s="496">
        <v>1019316.6434972463</v>
      </c>
      <c r="K49" s="164">
        <f t="shared" si="44"/>
        <v>1027183.7167554182</v>
      </c>
      <c r="L49" s="165">
        <f t="shared" si="45"/>
        <v>-7867.0732581719058</v>
      </c>
      <c r="M49" s="165"/>
      <c r="N49" s="163"/>
      <c r="O49" s="163"/>
      <c r="P49" s="163"/>
      <c r="Q49" s="510">
        <f t="shared" ca="1" si="33"/>
        <v>72419.924538832667</v>
      </c>
      <c r="R49" s="166">
        <f t="shared" ref="R49" ca="1" si="50">I49+L49+P49+Q49</f>
        <v>266613.98756223725</v>
      </c>
      <c r="S49" s="166"/>
      <c r="T49" s="167">
        <f t="shared" ref="T49" ca="1" si="51">+G49+R49</f>
        <v>266613.98756223725</v>
      </c>
      <c r="U49" s="506">
        <v>-34076.176522643036</v>
      </c>
      <c r="V49" s="158">
        <f t="shared" ref="V49" ca="1" si="52">+I49+L49+P49</f>
        <v>194194.06302340457</v>
      </c>
      <c r="W49" s="138" t="str">
        <f t="shared" si="49"/>
        <v>P.032</v>
      </c>
    </row>
    <row r="50" spans="1:23">
      <c r="A50" s="162" t="s">
        <v>369</v>
      </c>
      <c r="B50" s="135" t="s">
        <v>117</v>
      </c>
      <c r="C50" s="160" t="str">
        <f t="shared" ca="1" si="0"/>
        <v>Chisholm Substation 345 kV Terminal Upgrades</v>
      </c>
      <c r="D50" s="151">
        <f t="shared" ca="1" si="0"/>
        <v>2024</v>
      </c>
      <c r="E50" s="152"/>
      <c r="F50" s="153"/>
      <c r="G50" s="153"/>
      <c r="H50" s="138"/>
      <c r="I50" s="154">
        <f t="shared" ca="1" si="3"/>
        <v>-372205.37179051479</v>
      </c>
      <c r="J50" s="496">
        <v>404501.07612510771</v>
      </c>
      <c r="K50" s="164">
        <f t="shared" si="44"/>
        <v>407623.01043196593</v>
      </c>
      <c r="L50" s="165">
        <f t="shared" ref="L50" si="53">+J50-K50</f>
        <v>-3121.9343068582239</v>
      </c>
      <c r="M50" s="165"/>
      <c r="N50" s="163"/>
      <c r="O50" s="163"/>
      <c r="P50" s="163"/>
      <c r="Q50" s="510">
        <f t="shared" ca="1" si="33"/>
        <v>-139969.13583119781</v>
      </c>
      <c r="R50" s="166">
        <f t="shared" ref="R50" ca="1" si="54">I50+L50+P50+Q50</f>
        <v>-515296.44192857086</v>
      </c>
      <c r="S50" s="166"/>
      <c r="T50" s="167">
        <f t="shared" ref="T50" ca="1" si="55">+G50+R50</f>
        <v>-515296.44192857086</v>
      </c>
      <c r="U50" s="506">
        <v>-2040.4127612735615</v>
      </c>
      <c r="V50" s="158">
        <f t="shared" ref="V50" ca="1" si="56">+I50+L50+P50</f>
        <v>-375327.30609737302</v>
      </c>
      <c r="W50" s="138" t="str">
        <f t="shared" si="49"/>
        <v>P.033</v>
      </c>
    </row>
    <row r="51" spans="1:23">
      <c r="A51" s="162" t="s">
        <v>370</v>
      </c>
      <c r="B51" s="135" t="s">
        <v>117</v>
      </c>
      <c r="C51" s="160" t="str">
        <f t="shared" ca="1" si="0"/>
        <v>Sooner - Wekiwa 345 kV Terminal Upgrades</v>
      </c>
      <c r="D51" s="151">
        <f t="shared" ca="1" si="0"/>
        <v>2025</v>
      </c>
      <c r="E51" s="152"/>
      <c r="F51" s="153"/>
      <c r="G51" s="153"/>
      <c r="H51" s="138"/>
      <c r="I51" s="154">
        <f t="shared" ca="1" si="3"/>
        <v>12377.587843151581</v>
      </c>
      <c r="J51" s="496">
        <v>43623.523299029308</v>
      </c>
      <c r="K51" s="164">
        <f t="shared" si="44"/>
        <v>43960.209112767778</v>
      </c>
      <c r="L51" s="165">
        <f t="shared" ref="L51" si="57">+J51-K51</f>
        <v>-336.68581373846973</v>
      </c>
      <c r="M51" s="165"/>
      <c r="N51" s="163"/>
      <c r="O51" s="163"/>
      <c r="P51" s="163"/>
      <c r="Q51" s="510">
        <f t="shared" ca="1" si="33"/>
        <v>4490.3598121044497</v>
      </c>
      <c r="R51" s="166">
        <f t="shared" ref="R51" ca="1" si="58">I51+L51+P51+Q51</f>
        <v>16531.26184151756</v>
      </c>
      <c r="S51" s="166"/>
      <c r="T51" s="167">
        <f t="shared" ref="T51" ca="1" si="59">+G51+R51</f>
        <v>16531.26184151756</v>
      </c>
      <c r="U51" s="506">
        <v>-3788.6319432699624</v>
      </c>
      <c r="V51" s="158">
        <f t="shared" ref="V51" ca="1" si="60">+I51+L51+P51</f>
        <v>12040.902029413111</v>
      </c>
      <c r="W51" s="138" t="str">
        <f t="shared" si="49"/>
        <v>P.034</v>
      </c>
    </row>
    <row r="52" spans="1:23" ht="25.5">
      <c r="A52" s="162" t="s">
        <v>371</v>
      </c>
      <c r="B52" s="135" t="s">
        <v>117</v>
      </c>
      <c r="C52" s="160" t="str">
        <f t="shared" ca="1" si="0"/>
        <v>Line - Osage - Webb City Tap - Shidler 138 kV Rebuild</v>
      </c>
      <c r="D52" s="151">
        <f t="shared" ca="1" si="0"/>
        <v>2024</v>
      </c>
      <c r="E52" s="152"/>
      <c r="F52" s="153"/>
      <c r="G52" s="153"/>
      <c r="H52" s="138"/>
      <c r="I52" s="154">
        <f t="shared" ca="1" si="3"/>
        <v>137363.90540673665</v>
      </c>
      <c r="J52" s="496">
        <v>242352.53646317462</v>
      </c>
      <c r="K52" s="164">
        <f t="shared" si="44"/>
        <v>244223.01034469396</v>
      </c>
      <c r="L52" s="165">
        <f t="shared" ref="L52" si="61">+J52-K52</f>
        <v>-1870.4738815193414</v>
      </c>
      <c r="M52" s="165"/>
      <c r="N52" s="163"/>
      <c r="O52" s="163"/>
      <c r="P52" s="163"/>
      <c r="Q52" s="510">
        <f t="shared" ca="1" si="33"/>
        <v>50528.960225633258</v>
      </c>
      <c r="R52" s="166">
        <f t="shared" ref="R52" ca="1" si="62">I52+L52+P52+Q52</f>
        <v>186022.39175085057</v>
      </c>
      <c r="S52" s="166"/>
      <c r="T52" s="167">
        <f t="shared" ref="T52" ca="1" si="63">+G52+R52</f>
        <v>186022.39175085057</v>
      </c>
      <c r="U52" s="506">
        <v>-10594.012190732834</v>
      </c>
      <c r="V52" s="158">
        <f t="shared" ref="V52" ca="1" si="64">+I52+L52+P52</f>
        <v>135493.43152521731</v>
      </c>
      <c r="W52" s="138" t="str">
        <f t="shared" si="49"/>
        <v>P.035</v>
      </c>
    </row>
    <row r="53" spans="1:23">
      <c r="A53" s="162" t="s">
        <v>390</v>
      </c>
      <c r="B53" s="135" t="s">
        <v>117</v>
      </c>
      <c r="C53" s="160" t="str">
        <f t="shared" ca="1" si="0"/>
        <v>Riverside Station 138 kV Breakers</v>
      </c>
      <c r="D53" s="151">
        <f t="shared" ca="1" si="0"/>
        <v>2026</v>
      </c>
      <c r="E53" s="152"/>
      <c r="F53" s="153"/>
      <c r="G53" s="153"/>
      <c r="H53" s="138"/>
      <c r="I53" s="154">
        <f t="shared" ca="1" si="3"/>
        <v>0</v>
      </c>
      <c r="J53" s="496"/>
      <c r="K53" s="164"/>
      <c r="L53" s="165"/>
      <c r="M53" s="165"/>
      <c r="N53" s="163"/>
      <c r="O53" s="163"/>
      <c r="P53" s="163"/>
      <c r="Q53" s="510"/>
      <c r="R53" s="166"/>
      <c r="S53" s="166"/>
      <c r="T53" s="167"/>
      <c r="U53" s="506">
        <v>-27783.830287886729</v>
      </c>
      <c r="V53" s="158"/>
      <c r="W53" s="138" t="str">
        <f t="shared" si="49"/>
        <v>P.036</v>
      </c>
    </row>
    <row r="54" spans="1:23">
      <c r="A54" s="138"/>
      <c r="B54" s="138"/>
      <c r="C54" s="138"/>
      <c r="D54" s="135"/>
      <c r="E54" s="166"/>
      <c r="F54" s="166"/>
      <c r="G54" s="166"/>
      <c r="H54" s="156"/>
      <c r="I54" s="166"/>
      <c r="J54" s="166"/>
      <c r="K54" s="168"/>
      <c r="L54" s="166"/>
      <c r="M54" s="166"/>
      <c r="N54" s="166"/>
      <c r="O54" s="166"/>
      <c r="P54" s="166"/>
      <c r="Q54" s="166"/>
      <c r="R54" s="166"/>
      <c r="S54" s="156"/>
      <c r="T54" s="167"/>
      <c r="V54" s="149"/>
    </row>
    <row r="55" spans="1:23">
      <c r="A55" s="138"/>
      <c r="B55" s="138"/>
      <c r="C55" s="169" t="s">
        <v>177</v>
      </c>
      <c r="D55" s="135"/>
      <c r="E55" s="156">
        <f>SUM(E18:E54)</f>
        <v>0</v>
      </c>
      <c r="F55" s="156">
        <f ca="1">SUM(F18:F54)</f>
        <v>0</v>
      </c>
      <c r="G55" s="156">
        <f ca="1">SUM(G18:G54)</f>
        <v>0</v>
      </c>
      <c r="H55" s="156"/>
      <c r="I55" s="156">
        <f ca="1">SUM(I18:I54)</f>
        <v>388264.61556337582</v>
      </c>
      <c r="J55" s="156">
        <f>SUM(J18:J54)</f>
        <v>9333868.0018344037</v>
      </c>
      <c r="K55" s="497">
        <v>9405906.6797280572</v>
      </c>
      <c r="L55" s="156">
        <f>SUM(L18:L54)</f>
        <v>-72038.677893653308</v>
      </c>
      <c r="M55" s="156">
        <f>SUM(M18:M42)</f>
        <v>0</v>
      </c>
      <c r="N55" s="156">
        <f>SUM(N18:N54)</f>
        <v>0</v>
      </c>
      <c r="O55" s="156">
        <f>SUM(O18:O54)</f>
        <v>0</v>
      </c>
      <c r="P55" s="156">
        <f>SUM(P18:P54)</f>
        <v>0</v>
      </c>
      <c r="Q55" s="156">
        <v>117928.72648481966</v>
      </c>
      <c r="R55" s="156">
        <f ca="1">SUM(R18:R54)</f>
        <v>434154.66415454214</v>
      </c>
      <c r="S55" s="156"/>
      <c r="T55" s="159">
        <f ca="1">SUM(T18:T54)</f>
        <v>434154.66415454214</v>
      </c>
      <c r="U55" s="159">
        <f>SUM(U18:U54)</f>
        <v>-380382.96492466796</v>
      </c>
      <c r="V55" s="159">
        <f ca="1">SUM(V18:V54)</f>
        <v>316225.9376697226</v>
      </c>
      <c r="W55" s="170" t="s">
        <v>267</v>
      </c>
    </row>
    <row r="56" spans="1:23" ht="13.5" thickBot="1">
      <c r="A56" s="138"/>
      <c r="B56" s="138"/>
      <c r="C56" s="171"/>
      <c r="D56" s="138"/>
      <c r="E56" s="172"/>
      <c r="F56" s="173" t="str">
        <f ca="1">IF(F55='PSO.WS.F.BPU.ATRR.Projected'!O19,"","Error")</f>
        <v/>
      </c>
      <c r="G56" s="173"/>
      <c r="H56" s="138"/>
      <c r="I56" s="174" t="str">
        <f ca="1">IF(ROUND(I55,0)=ROUND('PSO.WS.G.BPU.ATRR.True-up'!N19,0),"","Error")</f>
        <v/>
      </c>
      <c r="J56" s="175"/>
      <c r="K56" s="176" t="str">
        <f>IF(K55=SUM(K18:K52),"","Error -- check allocations above).")</f>
        <v/>
      </c>
      <c r="L56" s="177"/>
      <c r="M56" s="177"/>
      <c r="N56" s="177"/>
      <c r="O56" s="177"/>
      <c r="P56" s="177"/>
      <c r="Q56" s="176" t="str">
        <f ca="1">IF(Q55=SUM(Q18:Q54),"","Error -- check allocations above).")</f>
        <v/>
      </c>
      <c r="R56" s="156"/>
      <c r="S56" s="156"/>
      <c r="T56" s="156"/>
      <c r="V56" s="178"/>
      <c r="W56" s="170"/>
    </row>
    <row r="57" spans="1:23">
      <c r="A57" s="138"/>
      <c r="B57" s="138"/>
      <c r="C57" s="179" t="s">
        <v>217</v>
      </c>
      <c r="D57" s="138"/>
      <c r="E57" s="156"/>
      <c r="F57" s="156"/>
      <c r="G57" s="156"/>
      <c r="H57" s="138"/>
      <c r="I57" s="180"/>
      <c r="J57" s="180"/>
      <c r="K57" s="138"/>
      <c r="L57" s="138"/>
      <c r="M57" s="138"/>
      <c r="N57" s="177"/>
      <c r="O57" s="177"/>
      <c r="P57" s="177"/>
      <c r="Q57" s="177"/>
      <c r="R57" s="156"/>
      <c r="S57" s="156"/>
      <c r="T57" s="156"/>
    </row>
    <row r="58" spans="1:23">
      <c r="A58" s="138"/>
      <c r="B58" s="138"/>
      <c r="C58" s="179"/>
      <c r="D58" s="138"/>
      <c r="E58" s="156"/>
      <c r="F58" s="156" t="s">
        <v>348</v>
      </c>
      <c r="G58" s="156"/>
      <c r="H58" s="138"/>
      <c r="I58" s="181"/>
      <c r="J58" s="182"/>
      <c r="K58" s="155"/>
      <c r="L58" s="138"/>
      <c r="M58" s="138"/>
      <c r="N58" s="177"/>
      <c r="O58" s="177"/>
      <c r="P58" s="177"/>
      <c r="Q58" s="177"/>
      <c r="R58" s="177"/>
      <c r="S58" s="138"/>
      <c r="T58" s="138"/>
    </row>
    <row r="59" spans="1:23">
      <c r="E59" s="183"/>
      <c r="F59" s="183"/>
      <c r="G59" s="183"/>
      <c r="I59" s="183"/>
      <c r="J59" s="184"/>
      <c r="N59" s="185"/>
      <c r="O59" s="185"/>
      <c r="P59" s="185"/>
      <c r="Q59" s="185"/>
      <c r="R59" s="185"/>
    </row>
    <row r="60" spans="1:23">
      <c r="E60" s="183"/>
      <c r="F60" s="183"/>
      <c r="G60" s="183"/>
    </row>
    <row r="61" spans="1:23">
      <c r="A61" s="186" t="s">
        <v>188</v>
      </c>
      <c r="B61" s="187"/>
      <c r="C61" s="187"/>
      <c r="D61" s="187"/>
      <c r="E61" s="188"/>
      <c r="F61" s="188"/>
      <c r="G61" s="188"/>
      <c r="H61" s="187"/>
      <c r="I61" s="187"/>
      <c r="J61" s="187"/>
      <c r="K61" s="187"/>
      <c r="L61" s="187"/>
      <c r="M61" s="187"/>
      <c r="N61" s="187"/>
      <c r="O61" s="189"/>
      <c r="V61" t="s">
        <v>201</v>
      </c>
    </row>
    <row r="62" spans="1:23" ht="15.75">
      <c r="A62" s="190" t="s">
        <v>191</v>
      </c>
      <c r="C62" s="7" t="str">
        <f ca="1">RIGHT(CELL("address",P.001!D7),4)</f>
        <v>$D$7</v>
      </c>
      <c r="D62" s="7" t="str">
        <f ca="1">RIGHT(CELL("address",P.001!D11),4)</f>
        <v>D$11</v>
      </c>
      <c r="E62" s="7" t="str">
        <f ca="1">RIGHT(CELL("address",P.001!N5),4)</f>
        <v>$N$5</v>
      </c>
      <c r="F62" s="7" t="str">
        <f ca="1">RIGHT(CELL("address",P.001!N7),4)</f>
        <v>$N$7</v>
      </c>
      <c r="H62" s="133"/>
      <c r="I62" s="7" t="str">
        <f ca="1">RIGHT(CELL("address",P.001!M89),4)</f>
        <v>M$89</v>
      </c>
      <c r="J62" s="7"/>
      <c r="N62" s="7" t="str">
        <f ca="1">RIGHT(CELL("address",P.001!N87),4)</f>
        <v>N$87</v>
      </c>
      <c r="O62" s="191" t="str">
        <f ca="1">RIGHT(CELL("address",P.001!N88),4)</f>
        <v>N$88</v>
      </c>
      <c r="P62" s="26" t="s">
        <v>190</v>
      </c>
      <c r="V62" t="s">
        <v>202</v>
      </c>
    </row>
    <row r="63" spans="1:23">
      <c r="A63" s="192" t="s">
        <v>192</v>
      </c>
      <c r="B63" s="193"/>
      <c r="C63" s="193"/>
      <c r="D63" s="193"/>
      <c r="E63" s="194"/>
      <c r="F63" s="194"/>
      <c r="G63" s="194"/>
      <c r="H63" s="193"/>
      <c r="I63" s="193"/>
      <c r="J63" s="193"/>
      <c r="K63" s="193"/>
      <c r="L63" s="193"/>
      <c r="M63" s="193"/>
      <c r="N63" s="193"/>
      <c r="O63" s="195"/>
      <c r="V63" t="s">
        <v>203</v>
      </c>
    </row>
    <row r="64" spans="1:23">
      <c r="E64" s="183"/>
      <c r="F64" s="183"/>
      <c r="G64" s="183"/>
      <c r="V64" t="s">
        <v>204</v>
      </c>
    </row>
    <row r="65" spans="1:22">
      <c r="A65" s="1" t="s">
        <v>241</v>
      </c>
      <c r="B65" s="1" t="s">
        <v>242</v>
      </c>
      <c r="E65" s="183"/>
      <c r="F65" s="183"/>
      <c r="G65" s="183"/>
      <c r="V65" s="196" t="s">
        <v>225</v>
      </c>
    </row>
    <row r="66" spans="1:22">
      <c r="B66" s="1" t="s">
        <v>245</v>
      </c>
      <c r="E66" s="183"/>
      <c r="F66" s="183"/>
      <c r="G66" s="183"/>
    </row>
    <row r="67" spans="1:22">
      <c r="B67" s="1" t="s">
        <v>246</v>
      </c>
      <c r="E67" s="183"/>
      <c r="F67" s="183"/>
      <c r="G67" s="183"/>
    </row>
    <row r="68" spans="1:22">
      <c r="B68" s="1" t="s">
        <v>243</v>
      </c>
      <c r="E68" s="183"/>
      <c r="F68" s="183"/>
      <c r="G68" s="183"/>
      <c r="K68" s="199"/>
    </row>
    <row r="69" spans="1:22">
      <c r="B69" s="1" t="s">
        <v>244</v>
      </c>
      <c r="E69" s="183"/>
      <c r="F69" s="183"/>
      <c r="G69" s="183"/>
      <c r="K69" s="197"/>
    </row>
    <row r="70" spans="1:22">
      <c r="B70" s="1" t="s">
        <v>247</v>
      </c>
      <c r="E70" s="183"/>
      <c r="F70" s="183"/>
      <c r="G70" s="183"/>
    </row>
    <row r="73" spans="1:22" ht="12.75" customHeight="1">
      <c r="E73" s="7"/>
      <c r="F73" s="7"/>
      <c r="G73" s="7"/>
      <c r="H73" s="7"/>
      <c r="I73" s="198"/>
      <c r="J73" s="198"/>
    </row>
    <row r="75" spans="1:22" ht="12.75" customHeight="1">
      <c r="E75" s="181"/>
      <c r="F75" s="181"/>
      <c r="G75" s="199"/>
      <c r="H75" s="199"/>
      <c r="I75" s="200"/>
      <c r="J75" s="201"/>
    </row>
    <row r="76" spans="1:22" ht="12.75" customHeight="1">
      <c r="E76" s="181"/>
      <c r="F76" s="181"/>
      <c r="G76" s="199"/>
      <c r="H76" s="199"/>
      <c r="I76" s="200"/>
      <c r="J76" s="201"/>
    </row>
    <row r="77" spans="1:22" ht="12.75" customHeight="1">
      <c r="E77" s="181"/>
      <c r="F77" s="181"/>
      <c r="G77" s="199"/>
      <c r="H77" s="199"/>
      <c r="I77" s="200"/>
      <c r="J77" s="201"/>
    </row>
    <row r="78" spans="1:22" ht="12.75" customHeight="1">
      <c r="E78" s="181"/>
      <c r="F78" s="181"/>
      <c r="G78" s="199"/>
      <c r="H78" s="199"/>
      <c r="I78" s="200"/>
      <c r="J78" s="201"/>
    </row>
    <row r="79" spans="1:22" ht="12.75" customHeight="1">
      <c r="E79" s="181"/>
      <c r="F79" s="181"/>
      <c r="G79" s="199"/>
      <c r="H79" s="199"/>
      <c r="I79" s="200"/>
      <c r="J79" s="201"/>
    </row>
    <row r="80" spans="1:22" ht="12.75" customHeight="1">
      <c r="E80" s="181"/>
      <c r="F80" s="181"/>
      <c r="G80" s="199"/>
      <c r="H80" s="199"/>
      <c r="I80" s="200"/>
      <c r="J80" s="201"/>
    </row>
    <row r="81" spans="5:10" ht="12.75" customHeight="1">
      <c r="E81" s="181"/>
      <c r="F81" s="181"/>
      <c r="G81" s="199"/>
      <c r="H81" s="199"/>
      <c r="I81" s="200"/>
      <c r="J81" s="201"/>
    </row>
    <row r="82" spans="5:10" ht="12.75" customHeight="1">
      <c r="E82" s="181"/>
      <c r="F82" s="181"/>
      <c r="G82" s="199"/>
      <c r="H82" s="199"/>
      <c r="I82" s="200"/>
      <c r="J82" s="201"/>
    </row>
    <row r="83" spans="5:10" ht="12.75" customHeight="1">
      <c r="E83" s="181"/>
      <c r="F83" s="181"/>
      <c r="G83" s="199"/>
      <c r="H83" s="199"/>
      <c r="I83" s="200"/>
      <c r="J83" s="201"/>
    </row>
    <row r="84" spans="5:10" ht="12.75" customHeight="1">
      <c r="E84" s="181"/>
      <c r="F84" s="181"/>
      <c r="G84" s="199"/>
      <c r="H84" s="199"/>
      <c r="I84" s="200"/>
      <c r="J84" s="201"/>
    </row>
    <row r="85" spans="5:10" ht="12.75" customHeight="1">
      <c r="E85" s="181"/>
      <c r="F85" s="181"/>
      <c r="G85" s="199"/>
      <c r="H85" s="199"/>
      <c r="I85" s="200"/>
      <c r="J85" s="201"/>
    </row>
    <row r="86" spans="5:10" ht="12.75" customHeight="1">
      <c r="E86" s="181"/>
      <c r="F86" s="181"/>
      <c r="G86" s="199"/>
      <c r="H86" s="199"/>
      <c r="I86" s="200"/>
      <c r="J86" s="201"/>
    </row>
    <row r="87" spans="5:10" ht="12.75" customHeight="1">
      <c r="E87" s="181"/>
      <c r="F87" s="181"/>
      <c r="G87" s="199"/>
      <c r="H87" s="199"/>
      <c r="I87" s="200"/>
      <c r="J87" s="201"/>
    </row>
    <row r="88" spans="5:10" ht="12.75" customHeight="1">
      <c r="E88" s="181"/>
      <c r="F88" s="181"/>
      <c r="G88" s="199"/>
      <c r="H88" s="199"/>
      <c r="I88" s="200"/>
      <c r="J88" s="201"/>
    </row>
    <row r="89" spans="5:10" ht="12.75" customHeight="1">
      <c r="E89" s="181"/>
      <c r="F89" s="181"/>
      <c r="G89" s="199"/>
      <c r="H89" s="199"/>
      <c r="I89" s="200"/>
      <c r="J89" s="201"/>
    </row>
    <row r="90" spans="5:10" ht="12.75" customHeight="1">
      <c r="E90" s="181"/>
      <c r="F90" s="181"/>
      <c r="G90" s="199"/>
      <c r="H90" s="199"/>
      <c r="I90" s="200"/>
      <c r="J90" s="201"/>
    </row>
    <row r="91" spans="5:10" ht="12.75" customHeight="1">
      <c r="E91" s="181"/>
      <c r="F91" s="181"/>
      <c r="G91" s="199"/>
      <c r="H91" s="199"/>
      <c r="I91" s="200"/>
      <c r="J91" s="201"/>
    </row>
    <row r="92" spans="5:10" ht="12.75" customHeight="1">
      <c r="E92" s="181"/>
      <c r="F92" s="181"/>
      <c r="G92" s="199"/>
      <c r="H92" s="199"/>
      <c r="I92" s="200"/>
      <c r="J92" s="201"/>
    </row>
    <row r="93" spans="5:10" ht="12.75" customHeight="1">
      <c r="E93" s="181"/>
      <c r="F93" s="181"/>
      <c r="G93" s="199"/>
      <c r="H93" s="199"/>
      <c r="I93" s="200"/>
      <c r="J93" s="201"/>
    </row>
    <row r="94" spans="5:10" ht="12.75" customHeight="1">
      <c r="E94" s="181"/>
      <c r="F94" s="181"/>
      <c r="G94" s="199"/>
      <c r="H94" s="199"/>
      <c r="I94" s="200"/>
      <c r="J94" s="201"/>
    </row>
    <row r="95" spans="5:10" ht="12.75" customHeight="1">
      <c r="E95" s="181"/>
      <c r="F95" s="181"/>
      <c r="G95" s="199"/>
      <c r="H95" s="199"/>
      <c r="I95" s="200"/>
      <c r="J95" s="201"/>
    </row>
    <row r="96" spans="5:10" ht="12.75" customHeight="1">
      <c r="E96" s="181"/>
      <c r="F96" s="181"/>
      <c r="G96" s="199"/>
      <c r="H96" s="199"/>
      <c r="I96" s="200"/>
      <c r="J96" s="201"/>
    </row>
    <row r="97" spans="5:10" ht="12.75" customHeight="1">
      <c r="E97" s="181"/>
      <c r="F97" s="181"/>
      <c r="G97" s="199"/>
      <c r="H97" s="199"/>
      <c r="I97" s="200"/>
      <c r="J97" s="201"/>
    </row>
    <row r="98" spans="5:10" ht="12.75" customHeight="1">
      <c r="E98" s="181"/>
      <c r="F98" s="181"/>
      <c r="G98" s="199"/>
      <c r="H98" s="199"/>
      <c r="I98" s="200"/>
      <c r="J98" s="201"/>
    </row>
    <row r="99" spans="5:10" ht="12.75" customHeight="1">
      <c r="E99" s="181"/>
      <c r="F99" s="181"/>
      <c r="G99" s="199"/>
      <c r="H99" s="199"/>
      <c r="I99" s="200"/>
      <c r="J99" s="201"/>
    </row>
    <row r="100" spans="5:10" ht="12.75" customHeight="1">
      <c r="E100" s="199"/>
      <c r="F100" s="199"/>
      <c r="H100" s="199"/>
      <c r="I100" s="199"/>
      <c r="J100" s="199"/>
    </row>
    <row r="101" spans="5:10" ht="12.75" customHeight="1">
      <c r="E101" s="199"/>
      <c r="F101" s="199"/>
      <c r="G101" s="199"/>
      <c r="H101" s="199"/>
      <c r="I101" s="199"/>
      <c r="J101" s="199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48" orientation="landscape" r:id="rId1"/>
  <headerFooter alignWithMargins="0">
    <oddHeader xml:space="preserve">&amp;R&amp;16AEP - SPP Formula Rate
Schedule 11 Revenue Requirements
Public Service Company of Oklahoma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rgb="FFC00000"/>
  </sheetPr>
  <dimension ref="A1:P162"/>
  <sheetViews>
    <sheetView topLeftCell="A65" zoomScaleNormal="100" zoomScaleSheetLayoutView="75" workbookViewId="0">
      <selection activeCell="E99" sqref="E99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7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8096.7054209805347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8096.7054209805347</v>
      </c>
      <c r="O6" s="1"/>
      <c r="P6" s="1"/>
    </row>
    <row r="7" spans="1:16" ht="13.5" thickBot="1">
      <c r="C7" s="26" t="s">
        <v>46</v>
      </c>
      <c r="D7" s="331" t="s">
        <v>214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86</v>
      </c>
      <c r="E9" s="74" t="s">
        <v>373</v>
      </c>
      <c r="F9" s="514">
        <v>118</v>
      </c>
      <c r="G9" s="32"/>
      <c r="H9" s="32"/>
      <c r="I9" s="33"/>
      <c r="J9" s="34"/>
      <c r="P9" s="1"/>
    </row>
    <row r="10" spans="1:16">
      <c r="C10" s="128" t="s">
        <v>226</v>
      </c>
      <c r="D10" s="335">
        <v>84424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2007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IF(D10=0,0,ROUND(D10/D13,0))</f>
        <v>2222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2007</v>
      </c>
      <c r="D17" s="348">
        <v>84424</v>
      </c>
      <c r="E17" s="349">
        <v>0</v>
      </c>
      <c r="F17" s="348">
        <v>84424</v>
      </c>
      <c r="G17" s="349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/>
      </c>
      <c r="C18" s="50">
        <f>IF(D11="","-",+C17+1)</f>
        <v>2008</v>
      </c>
      <c r="D18" s="351">
        <v>84424</v>
      </c>
      <c r="E18" s="352">
        <v>1508</v>
      </c>
      <c r="F18" s="351">
        <v>82916</v>
      </c>
      <c r="G18" s="352">
        <v>0</v>
      </c>
      <c r="H18" s="353">
        <v>0</v>
      </c>
      <c r="I18" s="52">
        <f t="shared" si="0"/>
        <v>0</v>
      </c>
      <c r="J18" s="52"/>
      <c r="K18" s="350">
        <v>0</v>
      </c>
      <c r="L18" s="54">
        <f t="shared" si="1"/>
        <v>0</v>
      </c>
      <c r="M18" s="350">
        <v>0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/>
      </c>
      <c r="C19" s="50">
        <f>IF(D11="","-",+C18+1)</f>
        <v>2009</v>
      </c>
      <c r="D19" s="351">
        <v>82916</v>
      </c>
      <c r="E19" s="352">
        <v>1508</v>
      </c>
      <c r="F19" s="351">
        <v>81408</v>
      </c>
      <c r="G19" s="352">
        <v>0</v>
      </c>
      <c r="H19" s="353">
        <v>0</v>
      </c>
      <c r="I19" s="52">
        <f t="shared" si="0"/>
        <v>0</v>
      </c>
      <c r="J19" s="52"/>
      <c r="K19" s="350">
        <v>0</v>
      </c>
      <c r="L19" s="54">
        <f t="shared" si="1"/>
        <v>0</v>
      </c>
      <c r="M19" s="350">
        <v>0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4">IF(D20=F19,"","IU")</f>
        <v/>
      </c>
      <c r="C20" s="50">
        <f>IF(D11="","-",+C19+1)</f>
        <v>2010</v>
      </c>
      <c r="D20" s="351">
        <v>81408</v>
      </c>
      <c r="E20" s="352">
        <v>1508</v>
      </c>
      <c r="F20" s="351">
        <v>79900</v>
      </c>
      <c r="G20" s="352">
        <v>13037.291488737637</v>
      </c>
      <c r="H20" s="353">
        <v>13037.291488737637</v>
      </c>
      <c r="I20" s="52">
        <v>0</v>
      </c>
      <c r="J20" s="52"/>
      <c r="K20" s="379">
        <f t="shared" ref="K20:K25" si="5">G20</f>
        <v>13037.291488737637</v>
      </c>
      <c r="L20" s="380">
        <f t="shared" si="1"/>
        <v>0</v>
      </c>
      <c r="M20" s="379">
        <f t="shared" ref="M20:M25" si="6">H20</f>
        <v>13037.291488737637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4"/>
        <v/>
      </c>
      <c r="C21" s="50">
        <f>IF(D11="","-",+C20+1)</f>
        <v>2011</v>
      </c>
      <c r="D21" s="351">
        <v>79900</v>
      </c>
      <c r="E21" s="352">
        <v>1655</v>
      </c>
      <c r="F21" s="351">
        <v>78245</v>
      </c>
      <c r="G21" s="352">
        <v>13903.733792156472</v>
      </c>
      <c r="H21" s="353">
        <v>13903.733792156472</v>
      </c>
      <c r="I21" s="52">
        <f t="shared" si="0"/>
        <v>0</v>
      </c>
      <c r="J21" s="52"/>
      <c r="K21" s="350">
        <f t="shared" si="5"/>
        <v>13903.733792156472</v>
      </c>
      <c r="L21" s="54">
        <f t="shared" si="1"/>
        <v>0</v>
      </c>
      <c r="M21" s="350">
        <f t="shared" si="6"/>
        <v>13903.733792156472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4"/>
        <v/>
      </c>
      <c r="C22" s="50">
        <f>IF(D11="","-",+C21+1)</f>
        <v>2012</v>
      </c>
      <c r="D22" s="351">
        <v>78245</v>
      </c>
      <c r="E22" s="352">
        <v>1624</v>
      </c>
      <c r="F22" s="351">
        <v>76621</v>
      </c>
      <c r="G22" s="352">
        <v>12290.159159207155</v>
      </c>
      <c r="H22" s="353">
        <v>12290.159159207155</v>
      </c>
      <c r="I22" s="52">
        <f t="shared" si="0"/>
        <v>0</v>
      </c>
      <c r="J22" s="52"/>
      <c r="K22" s="350">
        <f t="shared" si="5"/>
        <v>12290.159159207155</v>
      </c>
      <c r="L22" s="54">
        <f t="shared" si="1"/>
        <v>0</v>
      </c>
      <c r="M22" s="350">
        <f t="shared" si="6"/>
        <v>12290.159159207155</v>
      </c>
      <c r="N22" s="54">
        <f t="shared" si="2"/>
        <v>0</v>
      </c>
      <c r="O22" s="54">
        <f t="shared" si="3"/>
        <v>0</v>
      </c>
      <c r="P22" s="1"/>
    </row>
    <row r="23" spans="2:16">
      <c r="B23" s="7" t="str">
        <f t="shared" si="4"/>
        <v/>
      </c>
      <c r="C23" s="50">
        <f>IF(D11="","-",+C22+1)</f>
        <v>2013</v>
      </c>
      <c r="D23" s="351">
        <v>76621</v>
      </c>
      <c r="E23" s="352">
        <v>1624</v>
      </c>
      <c r="F23" s="351">
        <v>74997</v>
      </c>
      <c r="G23" s="352">
        <v>12334.078606810854</v>
      </c>
      <c r="H23" s="353">
        <v>12334.078606810854</v>
      </c>
      <c r="I23" s="52">
        <v>0</v>
      </c>
      <c r="J23" s="52"/>
      <c r="K23" s="350">
        <f t="shared" si="5"/>
        <v>12334.078606810854</v>
      </c>
      <c r="L23" s="54">
        <f t="shared" ref="L23:L28" si="7">IF(K23&lt;&gt;0,+G23-K23,0)</f>
        <v>0</v>
      </c>
      <c r="M23" s="350">
        <f t="shared" si="6"/>
        <v>12334.078606810854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>
      <c r="B24" s="7" t="str">
        <f t="shared" si="4"/>
        <v/>
      </c>
      <c r="C24" s="50">
        <f>IF(D11="","-",+C23+1)</f>
        <v>2014</v>
      </c>
      <c r="D24" s="351">
        <v>74997</v>
      </c>
      <c r="E24" s="352">
        <v>1624</v>
      </c>
      <c r="F24" s="351">
        <v>73373</v>
      </c>
      <c r="G24" s="352">
        <v>11724.436761777028</v>
      </c>
      <c r="H24" s="353">
        <v>11724.436761777028</v>
      </c>
      <c r="I24" s="52">
        <v>0</v>
      </c>
      <c r="J24" s="52"/>
      <c r="K24" s="350">
        <f t="shared" si="5"/>
        <v>11724.436761777028</v>
      </c>
      <c r="L24" s="54">
        <f t="shared" si="7"/>
        <v>0</v>
      </c>
      <c r="M24" s="350">
        <f t="shared" si="6"/>
        <v>11724.436761777028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4"/>
        <v/>
      </c>
      <c r="C25" s="50">
        <f>IF(D11="","-",+C24+1)</f>
        <v>2015</v>
      </c>
      <c r="D25" s="351">
        <v>73373</v>
      </c>
      <c r="E25" s="352">
        <v>1624</v>
      </c>
      <c r="F25" s="351">
        <v>71749</v>
      </c>
      <c r="G25" s="352">
        <v>11516.153501332747</v>
      </c>
      <c r="H25" s="353">
        <v>11516.153501332747</v>
      </c>
      <c r="I25" s="52">
        <v>0</v>
      </c>
      <c r="J25" s="52"/>
      <c r="K25" s="350">
        <f t="shared" si="5"/>
        <v>11516.153501332747</v>
      </c>
      <c r="L25" s="54">
        <f t="shared" si="7"/>
        <v>0</v>
      </c>
      <c r="M25" s="350">
        <f t="shared" si="6"/>
        <v>11516.153501332747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4"/>
        <v/>
      </c>
      <c r="C26" s="50">
        <f>IF(D11="","-",+C25+1)</f>
        <v>2016</v>
      </c>
      <c r="D26" s="351">
        <v>71749</v>
      </c>
      <c r="E26" s="352">
        <v>1624</v>
      </c>
      <c r="F26" s="351">
        <v>70125</v>
      </c>
      <c r="G26" s="352">
        <v>10821.569336122064</v>
      </c>
      <c r="H26" s="353">
        <v>10821.569336122064</v>
      </c>
      <c r="I26" s="52">
        <f t="shared" si="0"/>
        <v>0</v>
      </c>
      <c r="J26" s="52"/>
      <c r="K26" s="350">
        <f t="shared" ref="K26:K31" si="10">G26</f>
        <v>10821.569336122064</v>
      </c>
      <c r="L26" s="54">
        <f t="shared" si="7"/>
        <v>0</v>
      </c>
      <c r="M26" s="350">
        <f t="shared" ref="M26:M31" si="11">H26</f>
        <v>10821.569336122064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4"/>
        <v/>
      </c>
      <c r="C27" s="50">
        <f>IF(D11="","-",+C26+1)</f>
        <v>2017</v>
      </c>
      <c r="D27" s="351">
        <v>70125</v>
      </c>
      <c r="E27" s="352">
        <v>1835</v>
      </c>
      <c r="F27" s="351">
        <v>68290</v>
      </c>
      <c r="G27" s="352">
        <v>10525.630110064558</v>
      </c>
      <c r="H27" s="353">
        <v>10525.630110064558</v>
      </c>
      <c r="I27" s="52">
        <f t="shared" si="0"/>
        <v>0</v>
      </c>
      <c r="J27" s="52"/>
      <c r="K27" s="350">
        <f t="shared" si="10"/>
        <v>10525.630110064558</v>
      </c>
      <c r="L27" s="54">
        <f t="shared" si="7"/>
        <v>0</v>
      </c>
      <c r="M27" s="350">
        <f t="shared" si="11"/>
        <v>10525.630110064558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4"/>
        <v/>
      </c>
      <c r="C28" s="50">
        <f>IF(D11="","-",+C27+1)</f>
        <v>2018</v>
      </c>
      <c r="D28" s="351">
        <v>68290</v>
      </c>
      <c r="E28" s="352">
        <v>1876</v>
      </c>
      <c r="F28" s="351">
        <v>66414</v>
      </c>
      <c r="G28" s="352">
        <v>9942.0041745497692</v>
      </c>
      <c r="H28" s="353">
        <v>9942.0041745497692</v>
      </c>
      <c r="I28" s="52">
        <f t="shared" si="0"/>
        <v>0</v>
      </c>
      <c r="J28" s="52"/>
      <c r="K28" s="350">
        <f t="shared" si="10"/>
        <v>9942.0041745497692</v>
      </c>
      <c r="L28" s="54">
        <f t="shared" si="7"/>
        <v>0</v>
      </c>
      <c r="M28" s="350">
        <f t="shared" si="11"/>
        <v>9942.0041745497692</v>
      </c>
      <c r="N28" s="54">
        <f t="shared" si="8"/>
        <v>0</v>
      </c>
      <c r="O28" s="54">
        <f t="shared" si="9"/>
        <v>0</v>
      </c>
      <c r="P28" s="1"/>
    </row>
    <row r="29" spans="2:16">
      <c r="B29" s="7" t="str">
        <f t="shared" si="4"/>
        <v/>
      </c>
      <c r="C29" s="50">
        <f>IF(D11="","-",+C28+1)</f>
        <v>2019</v>
      </c>
      <c r="D29" s="351">
        <v>66414</v>
      </c>
      <c r="E29" s="352">
        <v>2111</v>
      </c>
      <c r="F29" s="351">
        <v>64303</v>
      </c>
      <c r="G29" s="352">
        <v>9408.7099366610164</v>
      </c>
      <c r="H29" s="353">
        <v>9408.7099366610164</v>
      </c>
      <c r="I29" s="52">
        <f t="shared" si="0"/>
        <v>0</v>
      </c>
      <c r="J29" s="52"/>
      <c r="K29" s="350">
        <f t="shared" si="10"/>
        <v>9408.7099366610164</v>
      </c>
      <c r="L29" s="54">
        <f t="shared" ref="L29" si="12">IF(K29&lt;&gt;0,+G29-K29,0)</f>
        <v>0</v>
      </c>
      <c r="M29" s="350">
        <f t="shared" si="11"/>
        <v>9408.7099366610164</v>
      </c>
      <c r="N29" s="54">
        <f t="shared" ref="N29" si="13">IF(M29&lt;&gt;0,+H29-M29,0)</f>
        <v>0</v>
      </c>
      <c r="O29" s="54">
        <f t="shared" ref="O29" si="14">+N29-L29</f>
        <v>0</v>
      </c>
      <c r="P29" s="1"/>
    </row>
    <row r="30" spans="2:16">
      <c r="B30" s="7" t="str">
        <f t="shared" si="4"/>
        <v>IU</v>
      </c>
      <c r="C30" s="50">
        <f>IF(D11="","-",+C29+1)</f>
        <v>2020</v>
      </c>
      <c r="D30" s="351">
        <v>64538</v>
      </c>
      <c r="E30" s="352">
        <v>2010</v>
      </c>
      <c r="F30" s="351">
        <v>62528</v>
      </c>
      <c r="G30" s="352">
        <v>8871.8674914200565</v>
      </c>
      <c r="H30" s="353">
        <v>8871.8674914200565</v>
      </c>
      <c r="I30" s="52">
        <f t="shared" si="0"/>
        <v>0</v>
      </c>
      <c r="J30" s="52"/>
      <c r="K30" s="350">
        <f t="shared" si="10"/>
        <v>8871.8674914200565</v>
      </c>
      <c r="L30" s="54">
        <f t="shared" ref="L30" si="15">IF(K30&lt;&gt;0,+G30-K30,0)</f>
        <v>0</v>
      </c>
      <c r="M30" s="350">
        <f t="shared" si="11"/>
        <v>8871.8674914200565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4"/>
        <v>IU</v>
      </c>
      <c r="C31" s="50">
        <f>IF(D11="","-",+C30+1)</f>
        <v>2021</v>
      </c>
      <c r="D31" s="351">
        <v>62293</v>
      </c>
      <c r="E31" s="352">
        <v>1963</v>
      </c>
      <c r="F31" s="351">
        <v>60330</v>
      </c>
      <c r="G31" s="352">
        <v>8467.8802590192263</v>
      </c>
      <c r="H31" s="353">
        <v>8467.8802590192263</v>
      </c>
      <c r="I31" s="52">
        <f t="shared" si="0"/>
        <v>0</v>
      </c>
      <c r="J31" s="52"/>
      <c r="K31" s="350">
        <f t="shared" si="10"/>
        <v>8467.8802590192263</v>
      </c>
      <c r="L31" s="54">
        <f t="shared" ref="L31" si="16">IF(K31&lt;&gt;0,+G31-K31,0)</f>
        <v>0</v>
      </c>
      <c r="M31" s="350">
        <f t="shared" si="11"/>
        <v>8467.8802590192263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4"/>
        <v/>
      </c>
      <c r="C32" s="50">
        <f>IF(D11="","-",+C31+1)</f>
        <v>2022</v>
      </c>
      <c r="D32" s="351">
        <v>60330</v>
      </c>
      <c r="E32" s="352">
        <v>2010</v>
      </c>
      <c r="F32" s="351">
        <v>58320</v>
      </c>
      <c r="G32" s="352">
        <v>8297.5518554789269</v>
      </c>
      <c r="H32" s="353">
        <v>8297.5518554789269</v>
      </c>
      <c r="I32" s="52">
        <f t="shared" si="0"/>
        <v>0</v>
      </c>
      <c r="J32" s="52"/>
      <c r="K32" s="350">
        <f t="shared" ref="K32" si="17">G32</f>
        <v>8297.5518554789269</v>
      </c>
      <c r="L32" s="54">
        <f t="shared" ref="L32" si="18">IF(K32&lt;&gt;0,+G32-K32,0)</f>
        <v>0</v>
      </c>
      <c r="M32" s="350">
        <f t="shared" ref="M32" si="19">H32</f>
        <v>8297.5518554789269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4"/>
        <v/>
      </c>
      <c r="C33" s="50">
        <f>IF(D11="","-",+C32+1)</f>
        <v>2023</v>
      </c>
      <c r="D33" s="351">
        <v>58320</v>
      </c>
      <c r="E33" s="352">
        <v>2165</v>
      </c>
      <c r="F33" s="351">
        <v>56155</v>
      </c>
      <c r="G33" s="352">
        <v>8867.6018741323824</v>
      </c>
      <c r="H33" s="353">
        <v>8867.6018741323824</v>
      </c>
      <c r="I33" s="52">
        <f t="shared" si="0"/>
        <v>0</v>
      </c>
      <c r="J33" s="52"/>
      <c r="K33" s="350">
        <f t="shared" ref="K33" si="20">G33</f>
        <v>8867.6018741323824</v>
      </c>
      <c r="L33" s="54">
        <f t="shared" ref="L33" si="21">IF(K33&lt;&gt;0,+G33-K33,0)</f>
        <v>0</v>
      </c>
      <c r="M33" s="350">
        <f t="shared" ref="M33" si="22">H33</f>
        <v>8867.6018741323824</v>
      </c>
      <c r="N33" s="54">
        <f t="shared" si="2"/>
        <v>0</v>
      </c>
      <c r="O33" s="54">
        <f t="shared" si="3"/>
        <v>0</v>
      </c>
      <c r="P33" s="1"/>
    </row>
    <row r="34" spans="2:16">
      <c r="B34" s="7" t="str">
        <f t="shared" si="4"/>
        <v/>
      </c>
      <c r="C34" s="50">
        <f>IF(D11="","-",+C33+1)</f>
        <v>2024</v>
      </c>
      <c r="D34" s="351">
        <v>56155</v>
      </c>
      <c r="E34" s="352">
        <v>2222</v>
      </c>
      <c r="F34" s="351">
        <v>53933</v>
      </c>
      <c r="G34" s="352">
        <v>8356.3495367299729</v>
      </c>
      <c r="H34" s="353">
        <v>8356.3495367299729</v>
      </c>
      <c r="I34" s="52">
        <f t="shared" si="0"/>
        <v>0</v>
      </c>
      <c r="J34" s="52"/>
      <c r="K34" s="350">
        <f t="shared" ref="K34" si="23">G34</f>
        <v>8356.3495367299729</v>
      </c>
      <c r="L34" s="54">
        <f t="shared" ref="L34" si="24">IF(K34&lt;&gt;0,+G34-K34,0)</f>
        <v>0</v>
      </c>
      <c r="M34" s="350">
        <f t="shared" ref="M34" si="25">H34</f>
        <v>8356.3495367299729</v>
      </c>
      <c r="N34" s="54">
        <f t="shared" ref="N34" si="26">IF(M34&lt;&gt;0,+H34-M34,0)</f>
        <v>0</v>
      </c>
      <c r="O34" s="54">
        <f t="shared" ref="O34" si="27">+N34-L34</f>
        <v>0</v>
      </c>
      <c r="P34" s="1"/>
    </row>
    <row r="35" spans="2:16">
      <c r="B35" s="7" t="str">
        <f t="shared" si="4"/>
        <v/>
      </c>
      <c r="C35" s="50">
        <f>IF(D11="","-",+C34+1)</f>
        <v>2025</v>
      </c>
      <c r="D35" s="351">
        <v>53933</v>
      </c>
      <c r="E35" s="352">
        <v>2222</v>
      </c>
      <c r="F35" s="351">
        <v>51711</v>
      </c>
      <c r="G35" s="352">
        <v>8096.7054209805347</v>
      </c>
      <c r="H35" s="353">
        <v>8096.7054209805347</v>
      </c>
      <c r="I35" s="52">
        <f t="shared" si="0"/>
        <v>0</v>
      </c>
      <c r="J35" s="52"/>
      <c r="K35" s="350">
        <f t="shared" ref="K35" si="28">G35</f>
        <v>8096.7054209805347</v>
      </c>
      <c r="L35" s="54">
        <f t="shared" ref="L35" si="29">IF(K35&lt;&gt;0,+G35-K35,0)</f>
        <v>0</v>
      </c>
      <c r="M35" s="350">
        <f t="shared" ref="M35" si="30">H35</f>
        <v>8096.7054209805347</v>
      </c>
      <c r="N35" s="54">
        <f t="shared" ref="N35" si="31">IF(M35&lt;&gt;0,+H35-M35,0)</f>
        <v>0</v>
      </c>
      <c r="O35" s="54">
        <f t="shared" ref="O35" si="32">+N35-L35</f>
        <v>0</v>
      </c>
      <c r="P35" s="1"/>
    </row>
    <row r="36" spans="2:16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51711</v>
      </c>
      <c r="E36" s="354">
        <f>IF(+I14&lt;F35,I14,D36)</f>
        <v>2222</v>
      </c>
      <c r="F36" s="55">
        <f t="shared" ref="F36:F48" si="33">+D36-E36</f>
        <v>49489</v>
      </c>
      <c r="G36" s="355">
        <f t="shared" ref="G36:G71" si="34">(D36+F36)/2*I$12+E36</f>
        <v>7970.4886059371329</v>
      </c>
      <c r="H36" s="336">
        <f t="shared" ref="H36:H71" si="35">+(D36+F36)/2*I$13+E36</f>
        <v>7970.4886059371329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49489</v>
      </c>
      <c r="E37" s="354">
        <f>IF(+I14&lt;F36,I14,D37)</f>
        <v>2222</v>
      </c>
      <c r="F37" s="55">
        <f t="shared" si="33"/>
        <v>47267</v>
      </c>
      <c r="G37" s="355">
        <f t="shared" si="34"/>
        <v>7718.0549758503284</v>
      </c>
      <c r="H37" s="336">
        <f t="shared" si="35"/>
        <v>7718.0549758503284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47267</v>
      </c>
      <c r="E38" s="354">
        <f>IF(+I14&lt;F37,I14,D38)</f>
        <v>2222</v>
      </c>
      <c r="F38" s="55">
        <f t="shared" si="33"/>
        <v>45045</v>
      </c>
      <c r="G38" s="355">
        <f t="shared" si="34"/>
        <v>7465.621345763524</v>
      </c>
      <c r="H38" s="336">
        <f t="shared" si="35"/>
        <v>7465.621345763524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45045</v>
      </c>
      <c r="E39" s="354">
        <f>IF(+I14&lt;F38,I14,D39)</f>
        <v>2222</v>
      </c>
      <c r="F39" s="55">
        <f t="shared" si="33"/>
        <v>42823</v>
      </c>
      <c r="G39" s="355">
        <f t="shared" si="34"/>
        <v>7213.1877156767196</v>
      </c>
      <c r="H39" s="336">
        <f t="shared" si="35"/>
        <v>7213.1877156767196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42823</v>
      </c>
      <c r="E40" s="354">
        <f>IF(+I14&lt;F39,I14,D40)</f>
        <v>2222</v>
      </c>
      <c r="F40" s="55">
        <f t="shared" si="33"/>
        <v>40601</v>
      </c>
      <c r="G40" s="355">
        <f t="shared" si="34"/>
        <v>6960.7540855899151</v>
      </c>
      <c r="H40" s="336">
        <f t="shared" si="35"/>
        <v>6960.7540855899151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40601</v>
      </c>
      <c r="E41" s="354">
        <f>IF(+I14&lt;F40,I14,D41)</f>
        <v>2222</v>
      </c>
      <c r="F41" s="55">
        <f t="shared" si="33"/>
        <v>38379</v>
      </c>
      <c r="G41" s="355">
        <f t="shared" si="34"/>
        <v>6708.3204555031098</v>
      </c>
      <c r="H41" s="336">
        <f t="shared" si="35"/>
        <v>6708.3204555031098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38379</v>
      </c>
      <c r="E42" s="354">
        <f>IF(+I14&lt;F41,I14,D42)</f>
        <v>2222</v>
      </c>
      <c r="F42" s="55">
        <f t="shared" si="33"/>
        <v>36157</v>
      </c>
      <c r="G42" s="355">
        <f t="shared" si="34"/>
        <v>6455.8868254163053</v>
      </c>
      <c r="H42" s="336">
        <f t="shared" si="35"/>
        <v>6455.8868254163053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36157</v>
      </c>
      <c r="E43" s="354">
        <f>IF(+I14&lt;F42,I14,D43)</f>
        <v>2222</v>
      </c>
      <c r="F43" s="55">
        <f t="shared" si="33"/>
        <v>33935</v>
      </c>
      <c r="G43" s="355">
        <f t="shared" si="34"/>
        <v>6203.4531953295009</v>
      </c>
      <c r="H43" s="336">
        <f t="shared" si="35"/>
        <v>6203.4531953295009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33935</v>
      </c>
      <c r="E44" s="354">
        <f>IF(+I14&lt;F43,I14,D44)</f>
        <v>2222</v>
      </c>
      <c r="F44" s="55">
        <f t="shared" si="33"/>
        <v>31713</v>
      </c>
      <c r="G44" s="355">
        <f t="shared" si="34"/>
        <v>5951.0195652426964</v>
      </c>
      <c r="H44" s="336">
        <f t="shared" si="35"/>
        <v>5951.0195652426964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31713</v>
      </c>
      <c r="E45" s="354">
        <f>IF(+I14&lt;F44,I14,D45)</f>
        <v>2222</v>
      </c>
      <c r="F45" s="55">
        <f t="shared" si="33"/>
        <v>29491</v>
      </c>
      <c r="G45" s="355">
        <f t="shared" si="34"/>
        <v>5698.585935155892</v>
      </c>
      <c r="H45" s="336">
        <f t="shared" si="35"/>
        <v>5698.585935155892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29491</v>
      </c>
      <c r="E46" s="354">
        <f>IF(+I14&lt;F45,I14,D46)</f>
        <v>2222</v>
      </c>
      <c r="F46" s="55">
        <f t="shared" si="33"/>
        <v>27269</v>
      </c>
      <c r="G46" s="355">
        <f t="shared" si="34"/>
        <v>5446.1523050690876</v>
      </c>
      <c r="H46" s="336">
        <f t="shared" si="35"/>
        <v>5446.1523050690876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27269</v>
      </c>
      <c r="E47" s="354">
        <f>IF(+I14&lt;F46,I14,D47)</f>
        <v>2222</v>
      </c>
      <c r="F47" s="55">
        <f t="shared" si="33"/>
        <v>25047</v>
      </c>
      <c r="G47" s="355">
        <f t="shared" si="34"/>
        <v>5193.7186749822831</v>
      </c>
      <c r="H47" s="336">
        <f t="shared" si="35"/>
        <v>5193.7186749822831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25047</v>
      </c>
      <c r="E48" s="354">
        <f>IF(+I14&lt;F47,I14,D48)</f>
        <v>2222</v>
      </c>
      <c r="F48" s="55">
        <f t="shared" si="33"/>
        <v>22825</v>
      </c>
      <c r="G48" s="355">
        <f t="shared" si="34"/>
        <v>4941.2850448954787</v>
      </c>
      <c r="H48" s="336">
        <f t="shared" si="35"/>
        <v>4941.2850448954787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22825</v>
      </c>
      <c r="E49" s="354">
        <f>IF(+I14&lt;F48,I14,D49)</f>
        <v>2222</v>
      </c>
      <c r="F49" s="55">
        <f t="shared" ref="F49:F72" si="36">+D49-E49</f>
        <v>20603</v>
      </c>
      <c r="G49" s="355">
        <f t="shared" si="34"/>
        <v>4688.8514148086742</v>
      </c>
      <c r="H49" s="336">
        <f t="shared" si="35"/>
        <v>4688.8514148086742</v>
      </c>
      <c r="I49" s="52">
        <f t="shared" ref="I49:I72" si="37">H49-G49</f>
        <v>0</v>
      </c>
      <c r="J49" s="52"/>
      <c r="K49" s="115"/>
      <c r="L49" s="54">
        <f t="shared" ref="L49:L72" si="38">IF(K49&lt;&gt;0,+G49-K49,0)</f>
        <v>0</v>
      </c>
      <c r="M49" s="115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6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20603</v>
      </c>
      <c r="E50" s="354">
        <f>IF(+I14&lt;F49,I14,D50)</f>
        <v>2222</v>
      </c>
      <c r="F50" s="55">
        <f t="shared" si="36"/>
        <v>18381</v>
      </c>
      <c r="G50" s="355">
        <f t="shared" si="34"/>
        <v>4436.4177847218689</v>
      </c>
      <c r="H50" s="336">
        <f t="shared" si="35"/>
        <v>4436.4177847218689</v>
      </c>
      <c r="I50" s="52">
        <f t="shared" si="37"/>
        <v>0</v>
      </c>
      <c r="J50" s="52"/>
      <c r="K50" s="115"/>
      <c r="L50" s="54">
        <f t="shared" si="38"/>
        <v>0</v>
      </c>
      <c r="M50" s="115"/>
      <c r="N50" s="54">
        <f t="shared" si="39"/>
        <v>0</v>
      </c>
      <c r="O50" s="54">
        <f t="shared" si="40"/>
        <v>0</v>
      </c>
      <c r="P50" s="1"/>
    </row>
    <row r="51" spans="2:16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18381</v>
      </c>
      <c r="E51" s="354">
        <f>IF(+I14&lt;F50,I14,D51)</f>
        <v>2222</v>
      </c>
      <c r="F51" s="55">
        <f t="shared" si="36"/>
        <v>16159</v>
      </c>
      <c r="G51" s="355">
        <f t="shared" si="34"/>
        <v>4183.9841546350654</v>
      </c>
      <c r="H51" s="336">
        <f t="shared" si="35"/>
        <v>4183.9841546350654</v>
      </c>
      <c r="I51" s="52">
        <f t="shared" si="37"/>
        <v>0</v>
      </c>
      <c r="J51" s="52"/>
      <c r="K51" s="115"/>
      <c r="L51" s="54">
        <f t="shared" si="38"/>
        <v>0</v>
      </c>
      <c r="M51" s="115"/>
      <c r="N51" s="54">
        <f t="shared" si="39"/>
        <v>0</v>
      </c>
      <c r="O51" s="54">
        <f t="shared" si="40"/>
        <v>0</v>
      </c>
      <c r="P51" s="1"/>
    </row>
    <row r="52" spans="2:16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16159</v>
      </c>
      <c r="E52" s="354">
        <f>IF(+I14&lt;F51,I14,D52)</f>
        <v>2222</v>
      </c>
      <c r="F52" s="55">
        <f t="shared" si="36"/>
        <v>13937</v>
      </c>
      <c r="G52" s="355">
        <f t="shared" si="34"/>
        <v>3931.5505245482605</v>
      </c>
      <c r="H52" s="336">
        <f t="shared" si="35"/>
        <v>3931.5505245482605</v>
      </c>
      <c r="I52" s="52">
        <f t="shared" si="37"/>
        <v>0</v>
      </c>
      <c r="J52" s="52"/>
      <c r="K52" s="115"/>
      <c r="L52" s="54">
        <f t="shared" si="38"/>
        <v>0</v>
      </c>
      <c r="M52" s="115"/>
      <c r="N52" s="54">
        <f t="shared" si="39"/>
        <v>0</v>
      </c>
      <c r="O52" s="54">
        <f t="shared" si="40"/>
        <v>0</v>
      </c>
      <c r="P52" s="1"/>
    </row>
    <row r="53" spans="2:16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13937</v>
      </c>
      <c r="E53" s="354">
        <f>IF(+I14&lt;F52,I14,D53)</f>
        <v>2222</v>
      </c>
      <c r="F53" s="55">
        <f t="shared" si="36"/>
        <v>11715</v>
      </c>
      <c r="G53" s="355">
        <f t="shared" si="34"/>
        <v>3679.1168944614556</v>
      </c>
      <c r="H53" s="336">
        <f t="shared" si="35"/>
        <v>3679.1168944614556</v>
      </c>
      <c r="I53" s="52">
        <f t="shared" si="37"/>
        <v>0</v>
      </c>
      <c r="J53" s="52"/>
      <c r="K53" s="115"/>
      <c r="L53" s="54">
        <f t="shared" si="38"/>
        <v>0</v>
      </c>
      <c r="M53" s="115"/>
      <c r="N53" s="54">
        <f t="shared" si="39"/>
        <v>0</v>
      </c>
      <c r="O53" s="54">
        <f t="shared" si="40"/>
        <v>0</v>
      </c>
      <c r="P53" s="1"/>
    </row>
    <row r="54" spans="2:16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11715</v>
      </c>
      <c r="E54" s="354">
        <f>IF(+I14&lt;F53,I14,D54)</f>
        <v>2222</v>
      </c>
      <c r="F54" s="55">
        <f t="shared" si="36"/>
        <v>9493</v>
      </c>
      <c r="G54" s="355">
        <f t="shared" si="34"/>
        <v>3426.6832643746511</v>
      </c>
      <c r="H54" s="336">
        <f t="shared" si="35"/>
        <v>3426.6832643746511</v>
      </c>
      <c r="I54" s="52">
        <f t="shared" si="37"/>
        <v>0</v>
      </c>
      <c r="J54" s="52"/>
      <c r="K54" s="115"/>
      <c r="L54" s="54">
        <f t="shared" si="38"/>
        <v>0</v>
      </c>
      <c r="M54" s="115"/>
      <c r="N54" s="54">
        <f t="shared" si="39"/>
        <v>0</v>
      </c>
      <c r="O54" s="54">
        <f t="shared" si="40"/>
        <v>0</v>
      </c>
      <c r="P54" s="1"/>
    </row>
    <row r="55" spans="2:16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9493</v>
      </c>
      <c r="E55" s="354">
        <f>IF(+I14&lt;F54,I14,D55)</f>
        <v>2222</v>
      </c>
      <c r="F55" s="55">
        <f t="shared" si="36"/>
        <v>7271</v>
      </c>
      <c r="G55" s="355">
        <f t="shared" si="34"/>
        <v>3174.2496342878467</v>
      </c>
      <c r="H55" s="336">
        <f t="shared" si="35"/>
        <v>3174.2496342878467</v>
      </c>
      <c r="I55" s="52">
        <f t="shared" si="37"/>
        <v>0</v>
      </c>
      <c r="J55" s="52"/>
      <c r="K55" s="115"/>
      <c r="L55" s="54">
        <f t="shared" si="38"/>
        <v>0</v>
      </c>
      <c r="M55" s="115"/>
      <c r="N55" s="54">
        <f t="shared" si="39"/>
        <v>0</v>
      </c>
      <c r="O55" s="54">
        <f t="shared" si="40"/>
        <v>0</v>
      </c>
      <c r="P55" s="1"/>
    </row>
    <row r="56" spans="2:16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7271</v>
      </c>
      <c r="E56" s="354">
        <f>IF(+I14&lt;F55,I14,D56)</f>
        <v>2222</v>
      </c>
      <c r="F56" s="55">
        <f t="shared" si="36"/>
        <v>5049</v>
      </c>
      <c r="G56" s="355">
        <f t="shared" si="34"/>
        <v>2921.8160042010422</v>
      </c>
      <c r="H56" s="336">
        <f t="shared" si="35"/>
        <v>2921.8160042010422</v>
      </c>
      <c r="I56" s="52">
        <f t="shared" si="37"/>
        <v>0</v>
      </c>
      <c r="J56" s="52"/>
      <c r="K56" s="115"/>
      <c r="L56" s="54">
        <f t="shared" si="38"/>
        <v>0</v>
      </c>
      <c r="M56" s="115"/>
      <c r="N56" s="54">
        <f t="shared" si="39"/>
        <v>0</v>
      </c>
      <c r="O56" s="54">
        <f t="shared" si="40"/>
        <v>0</v>
      </c>
      <c r="P56" s="1"/>
    </row>
    <row r="57" spans="2:16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5049</v>
      </c>
      <c r="E57" s="354">
        <f>IF(+I14&lt;F56,I14,D57)</f>
        <v>2222</v>
      </c>
      <c r="F57" s="55">
        <f t="shared" si="36"/>
        <v>2827</v>
      </c>
      <c r="G57" s="355">
        <f t="shared" si="34"/>
        <v>2669.3823741142378</v>
      </c>
      <c r="H57" s="336">
        <f t="shared" si="35"/>
        <v>2669.3823741142378</v>
      </c>
      <c r="I57" s="52">
        <f t="shared" si="37"/>
        <v>0</v>
      </c>
      <c r="J57" s="52"/>
      <c r="K57" s="115"/>
      <c r="L57" s="54">
        <f t="shared" si="38"/>
        <v>0</v>
      </c>
      <c r="M57" s="115"/>
      <c r="N57" s="54">
        <f t="shared" si="39"/>
        <v>0</v>
      </c>
      <c r="O57" s="54">
        <f t="shared" si="40"/>
        <v>0</v>
      </c>
      <c r="P57" s="1"/>
    </row>
    <row r="58" spans="2:16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2827</v>
      </c>
      <c r="E58" s="354">
        <f>IF(+I14&lt;F57,I14,D58)</f>
        <v>2222</v>
      </c>
      <c r="F58" s="55">
        <f t="shared" si="36"/>
        <v>605</v>
      </c>
      <c r="G58" s="355">
        <f t="shared" si="34"/>
        <v>2416.9487440274333</v>
      </c>
      <c r="H58" s="336">
        <f t="shared" si="35"/>
        <v>2416.9487440274333</v>
      </c>
      <c r="I58" s="52">
        <f t="shared" si="37"/>
        <v>0</v>
      </c>
      <c r="J58" s="52"/>
      <c r="K58" s="115"/>
      <c r="L58" s="54">
        <f t="shared" si="38"/>
        <v>0</v>
      </c>
      <c r="M58" s="115"/>
      <c r="N58" s="54">
        <f t="shared" si="39"/>
        <v>0</v>
      </c>
      <c r="O58" s="54">
        <f t="shared" si="40"/>
        <v>0</v>
      </c>
      <c r="P58" s="1"/>
    </row>
    <row r="59" spans="2:16">
      <c r="B59" s="7" t="str">
        <f t="shared" si="4"/>
        <v/>
      </c>
      <c r="C59" s="50">
        <f>IF(D11="","-",+C58+1)</f>
        <v>2049</v>
      </c>
      <c r="D59" s="55">
        <f>IF(F58+SUM(E$17:E58)=D$10,F58,D$10-SUM(E$17:E58))</f>
        <v>605</v>
      </c>
      <c r="E59" s="354">
        <f>IF(+I14&lt;F58,I14,D59)</f>
        <v>605</v>
      </c>
      <c r="F59" s="55">
        <f t="shared" si="36"/>
        <v>0</v>
      </c>
      <c r="G59" s="355">
        <f t="shared" si="34"/>
        <v>639.36596449201545</v>
      </c>
      <c r="H59" s="336">
        <f t="shared" si="35"/>
        <v>639.36596449201545</v>
      </c>
      <c r="I59" s="52">
        <f t="shared" si="37"/>
        <v>0</v>
      </c>
      <c r="J59" s="52"/>
      <c r="K59" s="115"/>
      <c r="L59" s="54">
        <f t="shared" si="38"/>
        <v>0</v>
      </c>
      <c r="M59" s="115"/>
      <c r="N59" s="54">
        <f t="shared" si="39"/>
        <v>0</v>
      </c>
      <c r="O59" s="54">
        <f t="shared" si="40"/>
        <v>0</v>
      </c>
      <c r="P59" s="1"/>
    </row>
    <row r="60" spans="2:16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0</v>
      </c>
      <c r="E60" s="354">
        <f>IF(+I14&lt;F59,I14,D60)</f>
        <v>0</v>
      </c>
      <c r="F60" s="55">
        <f t="shared" si="36"/>
        <v>0</v>
      </c>
      <c r="G60" s="355">
        <f t="shared" si="34"/>
        <v>0</v>
      </c>
      <c r="H60" s="336">
        <f t="shared" si="35"/>
        <v>0</v>
      </c>
      <c r="I60" s="52">
        <f t="shared" si="37"/>
        <v>0</v>
      </c>
      <c r="J60" s="52"/>
      <c r="K60" s="115"/>
      <c r="L60" s="54">
        <f t="shared" si="38"/>
        <v>0</v>
      </c>
      <c r="M60" s="115"/>
      <c r="N60" s="54">
        <f t="shared" si="39"/>
        <v>0</v>
      </c>
      <c r="O60" s="54">
        <f t="shared" si="40"/>
        <v>0</v>
      </c>
      <c r="P60" s="1"/>
    </row>
    <row r="61" spans="2:16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0</v>
      </c>
      <c r="E61" s="354">
        <f>IF(+I14&lt;F60,I14,D61)</f>
        <v>0</v>
      </c>
      <c r="F61" s="55">
        <f t="shared" si="36"/>
        <v>0</v>
      </c>
      <c r="G61" s="355">
        <f t="shared" si="34"/>
        <v>0</v>
      </c>
      <c r="H61" s="336">
        <f t="shared" si="35"/>
        <v>0</v>
      </c>
      <c r="I61" s="52">
        <f t="shared" si="37"/>
        <v>0</v>
      </c>
      <c r="J61" s="52"/>
      <c r="K61" s="115"/>
      <c r="L61" s="54">
        <f t="shared" si="38"/>
        <v>0</v>
      </c>
      <c r="M61" s="115"/>
      <c r="N61" s="54">
        <f t="shared" si="39"/>
        <v>0</v>
      </c>
      <c r="O61" s="54">
        <f t="shared" si="40"/>
        <v>0</v>
      </c>
      <c r="P61" s="1"/>
    </row>
    <row r="62" spans="2:16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54">
        <f>IF(+I14&lt;F61,I14,D62)</f>
        <v>0</v>
      </c>
      <c r="F62" s="55">
        <f t="shared" si="36"/>
        <v>0</v>
      </c>
      <c r="G62" s="355">
        <f t="shared" si="34"/>
        <v>0</v>
      </c>
      <c r="H62" s="336">
        <f t="shared" si="35"/>
        <v>0</v>
      </c>
      <c r="I62" s="52">
        <f t="shared" si="37"/>
        <v>0</v>
      </c>
      <c r="J62" s="52"/>
      <c r="K62" s="115"/>
      <c r="L62" s="54">
        <f t="shared" si="38"/>
        <v>0</v>
      </c>
      <c r="M62" s="115"/>
      <c r="N62" s="54">
        <f t="shared" si="39"/>
        <v>0</v>
      </c>
      <c r="O62" s="54">
        <f t="shared" si="40"/>
        <v>0</v>
      </c>
      <c r="P62" s="1"/>
    </row>
    <row r="63" spans="2:16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54">
        <f>IF(+I14&lt;F62,I14,D63)</f>
        <v>0</v>
      </c>
      <c r="F63" s="55">
        <f t="shared" si="36"/>
        <v>0</v>
      </c>
      <c r="G63" s="355">
        <f t="shared" si="34"/>
        <v>0</v>
      </c>
      <c r="H63" s="336">
        <f t="shared" si="35"/>
        <v>0</v>
      </c>
      <c r="I63" s="52">
        <f t="shared" si="37"/>
        <v>0</v>
      </c>
      <c r="J63" s="52"/>
      <c r="K63" s="115"/>
      <c r="L63" s="54">
        <f t="shared" si="38"/>
        <v>0</v>
      </c>
      <c r="M63" s="115"/>
      <c r="N63" s="54">
        <f t="shared" si="39"/>
        <v>0</v>
      </c>
      <c r="O63" s="54">
        <f t="shared" si="40"/>
        <v>0</v>
      </c>
      <c r="P63" s="1"/>
    </row>
    <row r="64" spans="2:16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54">
        <f>IF(+I14&lt;F63,I14,D64)</f>
        <v>0</v>
      </c>
      <c r="F64" s="55">
        <f t="shared" si="36"/>
        <v>0</v>
      </c>
      <c r="G64" s="355">
        <f t="shared" si="34"/>
        <v>0</v>
      </c>
      <c r="H64" s="336">
        <f t="shared" si="35"/>
        <v>0</v>
      </c>
      <c r="I64" s="52">
        <f t="shared" si="37"/>
        <v>0</v>
      </c>
      <c r="J64" s="52"/>
      <c r="K64" s="115"/>
      <c r="L64" s="54">
        <f t="shared" si="38"/>
        <v>0</v>
      </c>
      <c r="M64" s="115"/>
      <c r="N64" s="54">
        <f t="shared" si="39"/>
        <v>0</v>
      </c>
      <c r="O64" s="54">
        <f t="shared" si="40"/>
        <v>0</v>
      </c>
      <c r="P64" s="1"/>
    </row>
    <row r="65" spans="2:16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54">
        <f>IF(+I14&lt;F64,I14,D65)</f>
        <v>0</v>
      </c>
      <c r="F65" s="55">
        <f t="shared" si="36"/>
        <v>0</v>
      </c>
      <c r="G65" s="355">
        <f t="shared" si="34"/>
        <v>0</v>
      </c>
      <c r="H65" s="336">
        <f t="shared" si="35"/>
        <v>0</v>
      </c>
      <c r="I65" s="52">
        <f t="shared" si="37"/>
        <v>0</v>
      </c>
      <c r="J65" s="52"/>
      <c r="K65" s="115"/>
      <c r="L65" s="54">
        <f t="shared" si="38"/>
        <v>0</v>
      </c>
      <c r="M65" s="115"/>
      <c r="N65" s="54">
        <f t="shared" si="39"/>
        <v>0</v>
      </c>
      <c r="O65" s="54">
        <f t="shared" si="40"/>
        <v>0</v>
      </c>
      <c r="P65" s="1"/>
    </row>
    <row r="66" spans="2:16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54">
        <f>IF(+I14&lt;F65,I14,D66)</f>
        <v>0</v>
      </c>
      <c r="F66" s="55">
        <f t="shared" si="36"/>
        <v>0</v>
      </c>
      <c r="G66" s="355">
        <f t="shared" si="34"/>
        <v>0</v>
      </c>
      <c r="H66" s="336">
        <f t="shared" si="35"/>
        <v>0</v>
      </c>
      <c r="I66" s="52">
        <f t="shared" si="37"/>
        <v>0</v>
      </c>
      <c r="J66" s="52"/>
      <c r="K66" s="115"/>
      <c r="L66" s="54">
        <f t="shared" si="38"/>
        <v>0</v>
      </c>
      <c r="M66" s="115"/>
      <c r="N66" s="54">
        <f t="shared" si="39"/>
        <v>0</v>
      </c>
      <c r="O66" s="54">
        <f t="shared" si="40"/>
        <v>0</v>
      </c>
      <c r="P66" s="1"/>
    </row>
    <row r="67" spans="2:16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54">
        <f>IF(+I14&lt;F66,I14,D67)</f>
        <v>0</v>
      </c>
      <c r="F67" s="55">
        <f t="shared" si="36"/>
        <v>0</v>
      </c>
      <c r="G67" s="355">
        <f t="shared" si="34"/>
        <v>0</v>
      </c>
      <c r="H67" s="336">
        <f t="shared" si="35"/>
        <v>0</v>
      </c>
      <c r="I67" s="52">
        <f t="shared" si="37"/>
        <v>0</v>
      </c>
      <c r="J67" s="52"/>
      <c r="K67" s="115"/>
      <c r="L67" s="54">
        <f t="shared" si="38"/>
        <v>0</v>
      </c>
      <c r="M67" s="115"/>
      <c r="N67" s="54">
        <f t="shared" si="39"/>
        <v>0</v>
      </c>
      <c r="O67" s="54">
        <f t="shared" si="40"/>
        <v>0</v>
      </c>
      <c r="P67" s="1"/>
    </row>
    <row r="68" spans="2:16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54">
        <f>IF(+I14&lt;F67,I14,D68)</f>
        <v>0</v>
      </c>
      <c r="F68" s="55">
        <f t="shared" si="36"/>
        <v>0</v>
      </c>
      <c r="G68" s="355">
        <f t="shared" si="34"/>
        <v>0</v>
      </c>
      <c r="H68" s="336">
        <f t="shared" si="35"/>
        <v>0</v>
      </c>
      <c r="I68" s="52">
        <f t="shared" si="37"/>
        <v>0</v>
      </c>
      <c r="J68" s="52"/>
      <c r="K68" s="115"/>
      <c r="L68" s="54">
        <f t="shared" si="38"/>
        <v>0</v>
      </c>
      <c r="M68" s="115"/>
      <c r="N68" s="54">
        <f t="shared" si="39"/>
        <v>0</v>
      </c>
      <c r="O68" s="54">
        <f t="shared" si="40"/>
        <v>0</v>
      </c>
      <c r="P68" s="1"/>
    </row>
    <row r="69" spans="2:16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54">
        <f>IF(+I14&lt;F68,I14,D69)</f>
        <v>0</v>
      </c>
      <c r="F69" s="55">
        <f t="shared" si="36"/>
        <v>0</v>
      </c>
      <c r="G69" s="355">
        <f t="shared" si="34"/>
        <v>0</v>
      </c>
      <c r="H69" s="336">
        <f t="shared" si="35"/>
        <v>0</v>
      </c>
      <c r="I69" s="52">
        <f t="shared" si="37"/>
        <v>0</v>
      </c>
      <c r="J69" s="52"/>
      <c r="K69" s="115"/>
      <c r="L69" s="54">
        <f t="shared" si="38"/>
        <v>0</v>
      </c>
      <c r="M69" s="115"/>
      <c r="N69" s="54">
        <f t="shared" si="39"/>
        <v>0</v>
      </c>
      <c r="O69" s="54">
        <f t="shared" si="40"/>
        <v>0</v>
      </c>
      <c r="P69" s="1"/>
    </row>
    <row r="70" spans="2:16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54">
        <f>IF(+I14&lt;F69,I14,D70)</f>
        <v>0</v>
      </c>
      <c r="F70" s="55">
        <f t="shared" si="36"/>
        <v>0</v>
      </c>
      <c r="G70" s="355">
        <f t="shared" si="34"/>
        <v>0</v>
      </c>
      <c r="H70" s="336">
        <f t="shared" si="35"/>
        <v>0</v>
      </c>
      <c r="I70" s="52">
        <f t="shared" si="37"/>
        <v>0</v>
      </c>
      <c r="J70" s="52"/>
      <c r="K70" s="115"/>
      <c r="L70" s="54">
        <f t="shared" si="38"/>
        <v>0</v>
      </c>
      <c r="M70" s="115"/>
      <c r="N70" s="54">
        <f t="shared" si="39"/>
        <v>0</v>
      </c>
      <c r="O70" s="54">
        <f t="shared" si="40"/>
        <v>0</v>
      </c>
      <c r="P70" s="1"/>
    </row>
    <row r="71" spans="2:16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54">
        <f>IF(+I14&lt;F70,I14,D71)</f>
        <v>0</v>
      </c>
      <c r="F71" s="55">
        <f t="shared" si="36"/>
        <v>0</v>
      </c>
      <c r="G71" s="355">
        <f t="shared" si="34"/>
        <v>0</v>
      </c>
      <c r="H71" s="336">
        <f t="shared" si="35"/>
        <v>0</v>
      </c>
      <c r="I71" s="52">
        <f t="shared" si="37"/>
        <v>0</v>
      </c>
      <c r="J71" s="52"/>
      <c r="K71" s="115"/>
      <c r="L71" s="54">
        <f t="shared" si="38"/>
        <v>0</v>
      </c>
      <c r="M71" s="115"/>
      <c r="N71" s="54">
        <f t="shared" si="39"/>
        <v>0</v>
      </c>
      <c r="O71" s="54">
        <f t="shared" si="40"/>
        <v>0</v>
      </c>
      <c r="P71" s="1"/>
    </row>
    <row r="72" spans="2:16" ht="13.5" thickBot="1">
      <c r="B72" s="7" t="str">
        <f t="shared" si="4"/>
        <v/>
      </c>
      <c r="C72" s="58">
        <f>IF(D11="","-",+C71+1)</f>
        <v>2062</v>
      </c>
      <c r="D72" s="59">
        <f>IF(F71+SUM(E$17:E71)=D$10,F71,D$10-SUM(E$17:E71))</f>
        <v>0</v>
      </c>
      <c r="E72" s="357">
        <f>IF(+I14&lt;F71,I14,D72)</f>
        <v>0</v>
      </c>
      <c r="F72" s="59">
        <f t="shared" si="36"/>
        <v>0</v>
      </c>
      <c r="G72" s="59">
        <f t="shared" ref="G72" si="41">(D72+F72)/2*I$12+E72</f>
        <v>0</v>
      </c>
      <c r="H72" s="59">
        <f t="shared" ref="H72" si="42">+(D72+F72)/2*I$13+E72</f>
        <v>0</v>
      </c>
      <c r="I72" s="61">
        <f t="shared" si="37"/>
        <v>0</v>
      </c>
      <c r="J72" s="52"/>
      <c r="K72" s="116"/>
      <c r="L72" s="62">
        <f t="shared" si="38"/>
        <v>0</v>
      </c>
      <c r="M72" s="116"/>
      <c r="N72" s="62">
        <f t="shared" si="39"/>
        <v>0</v>
      </c>
      <c r="O72" s="62">
        <f t="shared" si="40"/>
        <v>0</v>
      </c>
      <c r="P72" s="1"/>
    </row>
    <row r="73" spans="2:16">
      <c r="C73" s="12" t="s">
        <v>77</v>
      </c>
      <c r="D73" s="266"/>
      <c r="E73" s="266">
        <f>SUM(E17:E72)</f>
        <v>84424</v>
      </c>
      <c r="F73" s="266"/>
      <c r="G73" s="266">
        <f>SUM(G17:G72)</f>
        <v>286556.61879426503</v>
      </c>
      <c r="H73" s="266">
        <f>SUM(H17:H72)</f>
        <v>286556.61879426503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7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8096.7054209805347</v>
      </c>
      <c r="N87" s="364">
        <f>IF(J92&lt;D11,0,VLOOKUP(J92,C17:O72,11))</f>
        <v>8096.7054209805347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8505.1674128738014</v>
      </c>
      <c r="N88" s="367">
        <f>IF(J92&lt;D11,0,VLOOKUP(J92,C99:P154,7))</f>
        <v>8505.1674128738014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Elk City - Elk City 69 kV line (CT Upgrades)*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408.46199189326671</v>
      </c>
      <c r="N89" s="369">
        <f>+N88-N87</f>
        <v>408.46199189326671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TP2007015</v>
      </c>
      <c r="E91" s="74" t="str">
        <f>E9</f>
        <v>SPP Project ID =</v>
      </c>
      <c r="F91" s="513">
        <f>F9</f>
        <v>118</v>
      </c>
      <c r="G91" s="74"/>
      <c r="H91" s="74"/>
      <c r="I91" s="74"/>
      <c r="J91" s="74"/>
    </row>
    <row r="92" spans="1:16">
      <c r="C92" s="128" t="s">
        <v>226</v>
      </c>
      <c r="D92" s="335">
        <v>84424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2007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12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2282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2007</v>
      </c>
      <c r="D99" s="348">
        <v>0</v>
      </c>
      <c r="E99" s="352">
        <v>0</v>
      </c>
      <c r="F99" s="351">
        <v>84424</v>
      </c>
      <c r="G99" s="376">
        <v>42212</v>
      </c>
      <c r="H99" s="377">
        <v>0</v>
      </c>
      <c r="I99" s="378">
        <v>0</v>
      </c>
      <c r="J99" s="54">
        <f t="shared" ref="J99:J130" si="43">+I99-H99</f>
        <v>0</v>
      </c>
      <c r="K99" s="54"/>
      <c r="L99" s="117">
        <v>0</v>
      </c>
      <c r="M99" s="53">
        <f t="shared" ref="M99:M130" si="44">IF(L99&lt;&gt;0,+H99-L99,0)</f>
        <v>0</v>
      </c>
      <c r="N99" s="117">
        <v>0</v>
      </c>
      <c r="O99" s="53">
        <f t="shared" ref="O99:O130" si="45">IF(N99&lt;&gt;0,+I99-N99,0)</f>
        <v>0</v>
      </c>
      <c r="P99" s="53">
        <f t="shared" ref="P99:P130" si="46">+O99-M99</f>
        <v>0</v>
      </c>
    </row>
    <row r="100" spans="1:16">
      <c r="B100" s="7" t="str">
        <f>IF(D100=F99,"","IU")</f>
        <v/>
      </c>
      <c r="C100" s="50">
        <f>IF(D93="","-",+C99+1)</f>
        <v>2008</v>
      </c>
      <c r="D100" s="348">
        <v>84424</v>
      </c>
      <c r="E100" s="352">
        <v>1593</v>
      </c>
      <c r="F100" s="351">
        <v>82831</v>
      </c>
      <c r="G100" s="351">
        <v>83628</v>
      </c>
      <c r="H100" s="352">
        <v>14877</v>
      </c>
      <c r="I100" s="353">
        <v>14877</v>
      </c>
      <c r="J100" s="54">
        <f t="shared" si="43"/>
        <v>0</v>
      </c>
      <c r="K100" s="54"/>
      <c r="L100" s="350">
        <v>14877</v>
      </c>
      <c r="M100" s="54">
        <f t="shared" si="44"/>
        <v>0</v>
      </c>
      <c r="N100" s="350">
        <v>14877</v>
      </c>
      <c r="O100" s="54">
        <f t="shared" si="45"/>
        <v>0</v>
      </c>
      <c r="P100" s="54">
        <f t="shared" si="46"/>
        <v>0</v>
      </c>
    </row>
    <row r="101" spans="1:16">
      <c r="B101" s="7" t="str">
        <f t="shared" ref="B101:B154" si="47">IF(D101=F100,"","IU")</f>
        <v/>
      </c>
      <c r="C101" s="50">
        <f>IF(D93="","-",+C100+1)</f>
        <v>2009</v>
      </c>
      <c r="D101" s="348">
        <v>82831</v>
      </c>
      <c r="E101" s="352">
        <v>1508</v>
      </c>
      <c r="F101" s="351">
        <v>81323</v>
      </c>
      <c r="G101" s="351">
        <v>82077</v>
      </c>
      <c r="H101" s="352">
        <v>13508.337143636172</v>
      </c>
      <c r="I101" s="353">
        <v>13508.337143636172</v>
      </c>
      <c r="J101" s="54">
        <f t="shared" si="43"/>
        <v>0</v>
      </c>
      <c r="K101" s="54"/>
      <c r="L101" s="379">
        <f t="shared" ref="L101:L106" si="48">H101</f>
        <v>13508.337143636172</v>
      </c>
      <c r="M101" s="380">
        <f t="shared" si="44"/>
        <v>0</v>
      </c>
      <c r="N101" s="379">
        <f t="shared" ref="N101:N106" si="49">I101</f>
        <v>13508.337143636172</v>
      </c>
      <c r="O101" s="54">
        <f t="shared" si="45"/>
        <v>0</v>
      </c>
      <c r="P101" s="54">
        <f t="shared" si="46"/>
        <v>0</v>
      </c>
    </row>
    <row r="102" spans="1:16">
      <c r="B102" s="7" t="str">
        <f t="shared" si="47"/>
        <v/>
      </c>
      <c r="C102" s="50">
        <f>IF(D93="","-",+C101+1)</f>
        <v>2010</v>
      </c>
      <c r="D102" s="348">
        <v>81323</v>
      </c>
      <c r="E102" s="352">
        <v>1655</v>
      </c>
      <c r="F102" s="351">
        <v>79668</v>
      </c>
      <c r="G102" s="351">
        <v>80495.5</v>
      </c>
      <c r="H102" s="352">
        <v>14599.901682354179</v>
      </c>
      <c r="I102" s="353">
        <v>14599.901682354179</v>
      </c>
      <c r="J102" s="54">
        <f t="shared" si="43"/>
        <v>0</v>
      </c>
      <c r="K102" s="54"/>
      <c r="L102" s="379">
        <f t="shared" si="48"/>
        <v>14599.901682354179</v>
      </c>
      <c r="M102" s="380">
        <f t="shared" si="44"/>
        <v>0</v>
      </c>
      <c r="N102" s="379">
        <f t="shared" si="49"/>
        <v>14599.901682354179</v>
      </c>
      <c r="O102" s="54">
        <f t="shared" si="45"/>
        <v>0</v>
      </c>
      <c r="P102" s="54">
        <f t="shared" si="46"/>
        <v>0</v>
      </c>
    </row>
    <row r="103" spans="1:16">
      <c r="B103" s="7" t="str">
        <f t="shared" si="47"/>
        <v/>
      </c>
      <c r="C103" s="50">
        <f>IF(D93="","-",+C102+1)</f>
        <v>2011</v>
      </c>
      <c r="D103" s="348">
        <v>79668</v>
      </c>
      <c r="E103" s="352">
        <v>1624</v>
      </c>
      <c r="F103" s="351">
        <v>78044</v>
      </c>
      <c r="G103" s="351">
        <v>78856</v>
      </c>
      <c r="H103" s="352">
        <v>12649.128461660426</v>
      </c>
      <c r="I103" s="353">
        <v>12649.128461660426</v>
      </c>
      <c r="J103" s="54">
        <f t="shared" si="43"/>
        <v>0</v>
      </c>
      <c r="K103" s="54"/>
      <c r="L103" s="379">
        <f t="shared" si="48"/>
        <v>12649.128461660426</v>
      </c>
      <c r="M103" s="380">
        <f t="shared" si="44"/>
        <v>0</v>
      </c>
      <c r="N103" s="379">
        <f t="shared" si="49"/>
        <v>12649.128461660426</v>
      </c>
      <c r="O103" s="54">
        <f t="shared" si="45"/>
        <v>0</v>
      </c>
      <c r="P103" s="54">
        <f t="shared" si="46"/>
        <v>0</v>
      </c>
    </row>
    <row r="104" spans="1:16">
      <c r="B104" s="7" t="str">
        <f t="shared" si="47"/>
        <v/>
      </c>
      <c r="C104" s="50">
        <f>IF(D93="","-",+C103+1)</f>
        <v>2012</v>
      </c>
      <c r="D104" s="348">
        <v>78044</v>
      </c>
      <c r="E104" s="352">
        <v>1624</v>
      </c>
      <c r="F104" s="351">
        <v>76420</v>
      </c>
      <c r="G104" s="351">
        <v>77232</v>
      </c>
      <c r="H104" s="352">
        <v>12734.246570183563</v>
      </c>
      <c r="I104" s="353">
        <v>12734.246570183563</v>
      </c>
      <c r="J104" s="54">
        <v>0</v>
      </c>
      <c r="K104" s="54"/>
      <c r="L104" s="379">
        <f t="shared" si="48"/>
        <v>12734.246570183563</v>
      </c>
      <c r="M104" s="380">
        <f t="shared" ref="M104:M109" si="50">IF(L104&lt;&gt;0,+H104-L104,0)</f>
        <v>0</v>
      </c>
      <c r="N104" s="379">
        <f t="shared" si="49"/>
        <v>12734.246570183563</v>
      </c>
      <c r="O104" s="54">
        <f t="shared" ref="O104:O109" si="51">IF(N104&lt;&gt;0,+I104-N104,0)</f>
        <v>0</v>
      </c>
      <c r="P104" s="54">
        <f t="shared" ref="P104:P109" si="52">+O104-M104</f>
        <v>0</v>
      </c>
    </row>
    <row r="105" spans="1:16">
      <c r="B105" s="7" t="str">
        <f t="shared" si="47"/>
        <v/>
      </c>
      <c r="C105" s="50">
        <f>IF(D93="","-",+C104+1)</f>
        <v>2013</v>
      </c>
      <c r="D105" s="348">
        <v>76420</v>
      </c>
      <c r="E105" s="352">
        <v>1624</v>
      </c>
      <c r="F105" s="351">
        <v>74796</v>
      </c>
      <c r="G105" s="351">
        <v>75608</v>
      </c>
      <c r="H105" s="352">
        <v>12506.984818583547</v>
      </c>
      <c r="I105" s="353">
        <v>12506.984818583547</v>
      </c>
      <c r="J105" s="54">
        <v>0</v>
      </c>
      <c r="K105" s="54"/>
      <c r="L105" s="379">
        <f t="shared" si="48"/>
        <v>12506.984818583547</v>
      </c>
      <c r="M105" s="380">
        <f t="shared" si="50"/>
        <v>0</v>
      </c>
      <c r="N105" s="379">
        <f t="shared" si="49"/>
        <v>12506.984818583547</v>
      </c>
      <c r="O105" s="54">
        <f t="shared" si="51"/>
        <v>0</v>
      </c>
      <c r="P105" s="54">
        <f t="shared" si="52"/>
        <v>0</v>
      </c>
    </row>
    <row r="106" spans="1:16">
      <c r="B106" s="7" t="str">
        <f t="shared" si="47"/>
        <v/>
      </c>
      <c r="C106" s="50">
        <f>IF(D93="","-",+C105+1)</f>
        <v>2014</v>
      </c>
      <c r="D106" s="348">
        <v>74796</v>
      </c>
      <c r="E106" s="352">
        <v>1624</v>
      </c>
      <c r="F106" s="351">
        <v>73172</v>
      </c>
      <c r="G106" s="351">
        <v>73984</v>
      </c>
      <c r="H106" s="352">
        <v>12025.847971361507</v>
      </c>
      <c r="I106" s="353">
        <v>12025.847971361507</v>
      </c>
      <c r="J106" s="54">
        <v>0</v>
      </c>
      <c r="K106" s="54"/>
      <c r="L106" s="379">
        <f t="shared" si="48"/>
        <v>12025.847971361507</v>
      </c>
      <c r="M106" s="380">
        <f t="shared" si="50"/>
        <v>0</v>
      </c>
      <c r="N106" s="379">
        <f t="shared" si="49"/>
        <v>12025.847971361507</v>
      </c>
      <c r="O106" s="54">
        <f t="shared" si="51"/>
        <v>0</v>
      </c>
      <c r="P106" s="54">
        <f t="shared" si="52"/>
        <v>0</v>
      </c>
    </row>
    <row r="107" spans="1:16">
      <c r="B107" s="7" t="str">
        <f t="shared" si="47"/>
        <v/>
      </c>
      <c r="C107" s="50">
        <f>IF(D93="","-",+C106+1)</f>
        <v>2015</v>
      </c>
      <c r="D107" s="348">
        <v>73172</v>
      </c>
      <c r="E107" s="352">
        <v>1624</v>
      </c>
      <c r="F107" s="351">
        <v>71548</v>
      </c>
      <c r="G107" s="351">
        <v>72360</v>
      </c>
      <c r="H107" s="352">
        <v>11496.940196929139</v>
      </c>
      <c r="I107" s="353">
        <v>11496.940196929139</v>
      </c>
      <c r="J107" s="54">
        <f t="shared" si="43"/>
        <v>0</v>
      </c>
      <c r="K107" s="54"/>
      <c r="L107" s="379">
        <f t="shared" ref="L107:L112" si="53">H107</f>
        <v>11496.940196929139</v>
      </c>
      <c r="M107" s="380">
        <f t="shared" si="50"/>
        <v>0</v>
      </c>
      <c r="N107" s="379">
        <f t="shared" ref="N107:N112" si="54">I107</f>
        <v>11496.940196929139</v>
      </c>
      <c r="O107" s="54">
        <f t="shared" si="51"/>
        <v>0</v>
      </c>
      <c r="P107" s="54">
        <f t="shared" si="52"/>
        <v>0</v>
      </c>
    </row>
    <row r="108" spans="1:16">
      <c r="B108" s="7" t="str">
        <f t="shared" si="47"/>
        <v/>
      </c>
      <c r="C108" s="50">
        <f>IF(D93="","-",+C107+1)</f>
        <v>2016</v>
      </c>
      <c r="D108" s="348">
        <v>71548</v>
      </c>
      <c r="E108" s="352">
        <v>1835</v>
      </c>
      <c r="F108" s="351">
        <v>69713</v>
      </c>
      <c r="G108" s="351">
        <v>70630.5</v>
      </c>
      <c r="H108" s="352">
        <v>10940.383800869789</v>
      </c>
      <c r="I108" s="353">
        <v>10940.383800869789</v>
      </c>
      <c r="J108" s="54">
        <f t="shared" si="43"/>
        <v>0</v>
      </c>
      <c r="K108" s="54"/>
      <c r="L108" s="379">
        <f t="shared" si="53"/>
        <v>10940.383800869789</v>
      </c>
      <c r="M108" s="380">
        <f t="shared" si="50"/>
        <v>0</v>
      </c>
      <c r="N108" s="379">
        <f t="shared" si="54"/>
        <v>10940.383800869789</v>
      </c>
      <c r="O108" s="54">
        <f t="shared" si="51"/>
        <v>0</v>
      </c>
      <c r="P108" s="54">
        <f t="shared" si="52"/>
        <v>0</v>
      </c>
    </row>
    <row r="109" spans="1:16">
      <c r="B109" s="7" t="str">
        <f t="shared" si="47"/>
        <v/>
      </c>
      <c r="C109" s="50">
        <f>IF(D93="","-",+C108+1)</f>
        <v>2017</v>
      </c>
      <c r="D109" s="348">
        <v>69713</v>
      </c>
      <c r="E109" s="352">
        <v>1835</v>
      </c>
      <c r="F109" s="351">
        <v>67878</v>
      </c>
      <c r="G109" s="351">
        <v>68795.5</v>
      </c>
      <c r="H109" s="352">
        <v>10561.882642914878</v>
      </c>
      <c r="I109" s="353">
        <v>10561.882642914878</v>
      </c>
      <c r="J109" s="54">
        <f t="shared" si="43"/>
        <v>0</v>
      </c>
      <c r="K109" s="54"/>
      <c r="L109" s="379">
        <f t="shared" si="53"/>
        <v>10561.882642914878</v>
      </c>
      <c r="M109" s="380">
        <f t="shared" si="50"/>
        <v>0</v>
      </c>
      <c r="N109" s="379">
        <f t="shared" si="54"/>
        <v>10561.882642914878</v>
      </c>
      <c r="O109" s="54">
        <f t="shared" si="51"/>
        <v>0</v>
      </c>
      <c r="P109" s="54">
        <f t="shared" si="52"/>
        <v>0</v>
      </c>
    </row>
    <row r="110" spans="1:16">
      <c r="B110" s="7" t="str">
        <f t="shared" si="47"/>
        <v/>
      </c>
      <c r="C110" s="50">
        <f>IF(D93="","-",+C109+1)</f>
        <v>2018</v>
      </c>
      <c r="D110" s="348">
        <v>67878</v>
      </c>
      <c r="E110" s="352">
        <v>1963</v>
      </c>
      <c r="F110" s="351">
        <v>65915</v>
      </c>
      <c r="G110" s="351">
        <v>66896.5</v>
      </c>
      <c r="H110" s="352">
        <v>8835.6498462369182</v>
      </c>
      <c r="I110" s="353">
        <v>8835.6498462369182</v>
      </c>
      <c r="J110" s="54">
        <f t="shared" si="43"/>
        <v>0</v>
      </c>
      <c r="K110" s="54"/>
      <c r="L110" s="379">
        <f t="shared" si="53"/>
        <v>8835.6498462369182</v>
      </c>
      <c r="M110" s="380">
        <f t="shared" ref="M110" si="55">IF(L110&lt;&gt;0,+H110-L110,0)</f>
        <v>0</v>
      </c>
      <c r="N110" s="379">
        <f t="shared" si="54"/>
        <v>8835.6498462369182</v>
      </c>
      <c r="O110" s="54">
        <f t="shared" ref="O110" si="56">IF(N110&lt;&gt;0,+I110-N110,0)</f>
        <v>0</v>
      </c>
      <c r="P110" s="54">
        <f t="shared" ref="P110" si="57">+O110-M110</f>
        <v>0</v>
      </c>
    </row>
    <row r="111" spans="1:16">
      <c r="B111" s="7" t="str">
        <f t="shared" si="47"/>
        <v/>
      </c>
      <c r="C111" s="50">
        <f>IF(D93="","-",+C110+1)</f>
        <v>2019</v>
      </c>
      <c r="D111" s="348">
        <v>65915</v>
      </c>
      <c r="E111" s="352">
        <v>2059</v>
      </c>
      <c r="F111" s="351">
        <v>63856</v>
      </c>
      <c r="G111" s="351">
        <v>64885.5</v>
      </c>
      <c r="H111" s="352">
        <v>8749.6051392547379</v>
      </c>
      <c r="I111" s="353">
        <v>8749.6051392547379</v>
      </c>
      <c r="J111" s="54">
        <f t="shared" si="43"/>
        <v>0</v>
      </c>
      <c r="K111" s="54"/>
      <c r="L111" s="379">
        <f t="shared" si="53"/>
        <v>8749.6051392547379</v>
      </c>
      <c r="M111" s="380">
        <f t="shared" ref="M111" si="58">IF(L111&lt;&gt;0,+H111-L111,0)</f>
        <v>0</v>
      </c>
      <c r="N111" s="379">
        <f t="shared" si="54"/>
        <v>8749.6051392547379</v>
      </c>
      <c r="O111" s="54">
        <f t="shared" si="45"/>
        <v>0</v>
      </c>
      <c r="P111" s="54">
        <f t="shared" si="46"/>
        <v>0</v>
      </c>
    </row>
    <row r="112" spans="1:16">
      <c r="B112" s="7" t="str">
        <f t="shared" si="47"/>
        <v/>
      </c>
      <c r="C112" s="50">
        <f>IF(D93="","-",+C111+1)</f>
        <v>2020</v>
      </c>
      <c r="D112" s="348">
        <v>63856</v>
      </c>
      <c r="E112" s="352">
        <v>1963</v>
      </c>
      <c r="F112" s="351">
        <v>61893</v>
      </c>
      <c r="G112" s="351">
        <v>62874.5</v>
      </c>
      <c r="H112" s="352">
        <v>9212.2569908153564</v>
      </c>
      <c r="I112" s="353">
        <v>9212.2569908153564</v>
      </c>
      <c r="J112" s="54">
        <f t="shared" si="43"/>
        <v>0</v>
      </c>
      <c r="K112" s="54"/>
      <c r="L112" s="379">
        <f t="shared" si="53"/>
        <v>9212.2569908153564</v>
      </c>
      <c r="M112" s="380">
        <f t="shared" ref="M112" si="59">IF(L112&lt;&gt;0,+H112-L112,0)</f>
        <v>0</v>
      </c>
      <c r="N112" s="379">
        <f t="shared" si="54"/>
        <v>9212.2569908153564</v>
      </c>
      <c r="O112" s="54">
        <f t="shared" si="45"/>
        <v>0</v>
      </c>
      <c r="P112" s="54">
        <f t="shared" si="46"/>
        <v>0</v>
      </c>
    </row>
    <row r="113" spans="2:16">
      <c r="B113" s="7" t="str">
        <f t="shared" si="47"/>
        <v/>
      </c>
      <c r="C113" s="50">
        <f>IF(D93="","-",+C112+1)</f>
        <v>2021</v>
      </c>
      <c r="D113" s="348">
        <v>61893</v>
      </c>
      <c r="E113" s="352">
        <v>2059</v>
      </c>
      <c r="F113" s="351">
        <v>59834</v>
      </c>
      <c r="G113" s="351">
        <v>60863.5</v>
      </c>
      <c r="H113" s="352">
        <v>8984.8276586704978</v>
      </c>
      <c r="I113" s="353">
        <v>8984.8276586704978</v>
      </c>
      <c r="J113" s="54">
        <f t="shared" si="43"/>
        <v>0</v>
      </c>
      <c r="K113" s="54"/>
      <c r="L113" s="379">
        <f t="shared" ref="L113" si="60">H113</f>
        <v>8984.8276586704978</v>
      </c>
      <c r="M113" s="380">
        <f t="shared" ref="M113" si="61">IF(L113&lt;&gt;0,+H113-L113,0)</f>
        <v>0</v>
      </c>
      <c r="N113" s="379">
        <f t="shared" ref="N113" si="62">I113</f>
        <v>8984.8276586704978</v>
      </c>
      <c r="O113" s="54">
        <f t="shared" si="45"/>
        <v>0</v>
      </c>
      <c r="P113" s="54">
        <f t="shared" si="46"/>
        <v>0</v>
      </c>
    </row>
    <row r="114" spans="2:16">
      <c r="B114" s="7" t="str">
        <f t="shared" si="47"/>
        <v/>
      </c>
      <c r="C114" s="50">
        <f>IF(D93="","-",+C113+1)</f>
        <v>2022</v>
      </c>
      <c r="D114" s="348">
        <v>59834</v>
      </c>
      <c r="E114" s="352">
        <v>2165</v>
      </c>
      <c r="F114" s="351">
        <v>57669</v>
      </c>
      <c r="G114" s="351">
        <v>58751.5</v>
      </c>
      <c r="H114" s="352">
        <v>8638.3961304237382</v>
      </c>
      <c r="I114" s="353">
        <v>8638.3961304237382</v>
      </c>
      <c r="J114" s="54">
        <f t="shared" si="43"/>
        <v>0</v>
      </c>
      <c r="K114" s="54"/>
      <c r="L114" s="379">
        <f t="shared" ref="L114" si="63">H114</f>
        <v>8638.3961304237382</v>
      </c>
      <c r="M114" s="380">
        <f t="shared" ref="M114" si="64">IF(L114&lt;&gt;0,+H114-L114,0)</f>
        <v>0</v>
      </c>
      <c r="N114" s="379">
        <f t="shared" ref="N114" si="65">I114</f>
        <v>8638.3961304237382</v>
      </c>
      <c r="O114" s="54">
        <f t="shared" ref="O114" si="66">IF(N114&lt;&gt;0,+I114-N114,0)</f>
        <v>0</v>
      </c>
      <c r="P114" s="54">
        <f t="shared" ref="P114" si="67">+O114-M114</f>
        <v>0</v>
      </c>
    </row>
    <row r="115" spans="2:16">
      <c r="B115" s="7" t="str">
        <f t="shared" si="47"/>
        <v/>
      </c>
      <c r="C115" s="50">
        <f>IF(D93="","-",+C114+1)</f>
        <v>2023</v>
      </c>
      <c r="D115" s="348">
        <v>57669</v>
      </c>
      <c r="E115" s="352">
        <v>2222</v>
      </c>
      <c r="F115" s="351">
        <v>55447</v>
      </c>
      <c r="G115" s="351">
        <v>56558</v>
      </c>
      <c r="H115" s="352">
        <v>8682.4536667105749</v>
      </c>
      <c r="I115" s="353">
        <v>8682.4536667105749</v>
      </c>
      <c r="J115" s="54">
        <f t="shared" si="43"/>
        <v>0</v>
      </c>
      <c r="K115" s="54"/>
      <c r="L115" s="379">
        <f t="shared" ref="L115" si="68">H115</f>
        <v>8682.4536667105749</v>
      </c>
      <c r="M115" s="380">
        <f t="shared" ref="M115" si="69">IF(L115&lt;&gt;0,+H115-L115,0)</f>
        <v>0</v>
      </c>
      <c r="N115" s="379">
        <f t="shared" ref="N115" si="70">I115</f>
        <v>8682.4536667105749</v>
      </c>
      <c r="O115" s="54">
        <f t="shared" ref="O115" si="71">IF(N115&lt;&gt;0,+I115-N115,0)</f>
        <v>0</v>
      </c>
      <c r="P115" s="54">
        <f t="shared" ref="P115" si="72">+O115-M115</f>
        <v>0</v>
      </c>
    </row>
    <row r="116" spans="2:16">
      <c r="B116" s="7" t="str">
        <f t="shared" si="47"/>
        <v/>
      </c>
      <c r="C116" s="50">
        <f>IF(D93="","-",+C115+1)</f>
        <v>2024</v>
      </c>
      <c r="D116" s="348">
        <v>55447</v>
      </c>
      <c r="E116" s="352">
        <v>2282</v>
      </c>
      <c r="F116" s="351">
        <v>53165</v>
      </c>
      <c r="G116" s="351">
        <v>54306</v>
      </c>
      <c r="H116" s="352">
        <v>9576.3118520836724</v>
      </c>
      <c r="I116" s="353">
        <v>9576.3118520836724</v>
      </c>
      <c r="J116" s="54">
        <f t="shared" si="43"/>
        <v>0</v>
      </c>
      <c r="K116" s="54"/>
      <c r="L116" s="379">
        <f t="shared" ref="L116" si="73">H116</f>
        <v>9576.3118520836724</v>
      </c>
      <c r="M116" s="380">
        <f t="shared" ref="M116" si="74">IF(L116&lt;&gt;0,+H116-L116,0)</f>
        <v>0</v>
      </c>
      <c r="N116" s="379">
        <f t="shared" ref="N116" si="75">I116</f>
        <v>9576.3118520836724</v>
      </c>
      <c r="O116" s="54">
        <f t="shared" si="45"/>
        <v>0</v>
      </c>
      <c r="P116" s="54">
        <f t="shared" si="46"/>
        <v>0</v>
      </c>
    </row>
    <row r="117" spans="2:16">
      <c r="B117" s="7" t="str">
        <f t="shared" si="47"/>
        <v/>
      </c>
      <c r="C117" s="50">
        <f>IF(D93="","-",+C116+1)</f>
        <v>2025</v>
      </c>
      <c r="D117" s="12">
        <f>IF(F116+SUM(E$99:E116)=D$92,F116,D$92-SUM(E$99:E116))</f>
        <v>53165</v>
      </c>
      <c r="E117" s="355">
        <f>IF(+J96&lt;F116,J96,D117)</f>
        <v>2282</v>
      </c>
      <c r="F117" s="55">
        <f t="shared" ref="F117:F129" si="76">+D117-E117</f>
        <v>50883</v>
      </c>
      <c r="G117" s="55">
        <f t="shared" ref="G117:G129" si="77">+(F117+D117)/2</f>
        <v>52024</v>
      </c>
      <c r="H117" s="355">
        <f t="shared" ref="H117:H153" si="78">(D117+F117)/2*J$94+E117</f>
        <v>8505.1674128738014</v>
      </c>
      <c r="I117" s="381">
        <f t="shared" ref="I117:I153" si="79">+J$95*G117+E117</f>
        <v>8505.1674128738014</v>
      </c>
      <c r="J117" s="54">
        <f t="shared" si="43"/>
        <v>0</v>
      </c>
      <c r="K117" s="54"/>
      <c r="L117" s="115"/>
      <c r="M117" s="54">
        <f t="shared" si="44"/>
        <v>0</v>
      </c>
      <c r="N117" s="115"/>
      <c r="O117" s="54">
        <f t="shared" si="45"/>
        <v>0</v>
      </c>
      <c r="P117" s="54">
        <f t="shared" si="46"/>
        <v>0</v>
      </c>
    </row>
    <row r="118" spans="2:16">
      <c r="B118" s="7" t="str">
        <f t="shared" si="47"/>
        <v/>
      </c>
      <c r="C118" s="50">
        <f>IF(D93="","-",+C117+1)</f>
        <v>2026</v>
      </c>
      <c r="D118" s="12">
        <f>IF(F117+SUM(E$99:E117)=D$92,F117,D$92-SUM(E$99:E117))</f>
        <v>50883</v>
      </c>
      <c r="E118" s="355">
        <f>IF(+J96&lt;F117,J96,D118)</f>
        <v>2282</v>
      </c>
      <c r="F118" s="55">
        <f t="shared" si="76"/>
        <v>48601</v>
      </c>
      <c r="G118" s="55">
        <f t="shared" si="77"/>
        <v>49742</v>
      </c>
      <c r="H118" s="355">
        <f t="shared" si="78"/>
        <v>8232.1920930948909</v>
      </c>
      <c r="I118" s="381">
        <f t="shared" si="79"/>
        <v>8232.1920930948909</v>
      </c>
      <c r="J118" s="54">
        <f t="shared" si="43"/>
        <v>0</v>
      </c>
      <c r="K118" s="54"/>
      <c r="L118" s="115"/>
      <c r="M118" s="54">
        <f t="shared" si="44"/>
        <v>0</v>
      </c>
      <c r="N118" s="115"/>
      <c r="O118" s="54">
        <f t="shared" si="45"/>
        <v>0</v>
      </c>
      <c r="P118" s="54">
        <f t="shared" si="46"/>
        <v>0</v>
      </c>
    </row>
    <row r="119" spans="2:16">
      <c r="B119" s="7" t="str">
        <f t="shared" si="47"/>
        <v/>
      </c>
      <c r="C119" s="50">
        <f>IF(D93="","-",+C118+1)</f>
        <v>2027</v>
      </c>
      <c r="D119" s="12">
        <f>IF(F118+SUM(E$99:E118)=D$92,F118,D$92-SUM(E$99:E118))</f>
        <v>48601</v>
      </c>
      <c r="E119" s="355">
        <f>IF(+J96&lt;F118,J96,D119)</f>
        <v>2282</v>
      </c>
      <c r="F119" s="55">
        <f t="shared" si="76"/>
        <v>46319</v>
      </c>
      <c r="G119" s="55">
        <f t="shared" si="77"/>
        <v>47460</v>
      </c>
      <c r="H119" s="355">
        <f t="shared" si="78"/>
        <v>7959.2167733159813</v>
      </c>
      <c r="I119" s="381">
        <f t="shared" si="79"/>
        <v>7959.2167733159813</v>
      </c>
      <c r="J119" s="54">
        <f t="shared" si="43"/>
        <v>0</v>
      </c>
      <c r="K119" s="54"/>
      <c r="L119" s="115"/>
      <c r="M119" s="54">
        <f t="shared" si="44"/>
        <v>0</v>
      </c>
      <c r="N119" s="115"/>
      <c r="O119" s="54">
        <f t="shared" si="45"/>
        <v>0</v>
      </c>
      <c r="P119" s="54">
        <f t="shared" si="46"/>
        <v>0</v>
      </c>
    </row>
    <row r="120" spans="2:16">
      <c r="B120" s="7" t="str">
        <f t="shared" si="47"/>
        <v/>
      </c>
      <c r="C120" s="50">
        <f>IF(D93="","-",+C119+1)</f>
        <v>2028</v>
      </c>
      <c r="D120" s="12">
        <f>IF(F119+SUM(E$99:E119)=D$92,F119,D$92-SUM(E$99:E119))</f>
        <v>46319</v>
      </c>
      <c r="E120" s="355">
        <f>IF(+J96&lt;F119,J96,D120)</f>
        <v>2282</v>
      </c>
      <c r="F120" s="55">
        <f t="shared" si="76"/>
        <v>44037</v>
      </c>
      <c r="G120" s="55">
        <f t="shared" si="77"/>
        <v>45178</v>
      </c>
      <c r="H120" s="355">
        <f t="shared" si="78"/>
        <v>7686.2414535370708</v>
      </c>
      <c r="I120" s="381">
        <f t="shared" si="79"/>
        <v>7686.2414535370708</v>
      </c>
      <c r="J120" s="54">
        <f t="shared" si="43"/>
        <v>0</v>
      </c>
      <c r="K120" s="54"/>
      <c r="L120" s="115"/>
      <c r="M120" s="54">
        <f t="shared" si="44"/>
        <v>0</v>
      </c>
      <c r="N120" s="115"/>
      <c r="O120" s="54">
        <f t="shared" si="45"/>
        <v>0</v>
      </c>
      <c r="P120" s="54">
        <f t="shared" si="46"/>
        <v>0</v>
      </c>
    </row>
    <row r="121" spans="2:16">
      <c r="B121" s="7" t="str">
        <f t="shared" si="47"/>
        <v/>
      </c>
      <c r="C121" s="50">
        <f>IF(D93="","-",+C120+1)</f>
        <v>2029</v>
      </c>
      <c r="D121" s="12">
        <f>IF(F120+SUM(E$99:E120)=D$92,F120,D$92-SUM(E$99:E120))</f>
        <v>44037</v>
      </c>
      <c r="E121" s="355">
        <f>IF(+J96&lt;F120,J96,D121)</f>
        <v>2282</v>
      </c>
      <c r="F121" s="55">
        <f t="shared" si="76"/>
        <v>41755</v>
      </c>
      <c r="G121" s="55">
        <f t="shared" si="77"/>
        <v>42896</v>
      </c>
      <c r="H121" s="355">
        <f t="shared" si="78"/>
        <v>7413.2661337581612</v>
      </c>
      <c r="I121" s="381">
        <f t="shared" si="79"/>
        <v>7413.2661337581612</v>
      </c>
      <c r="J121" s="54">
        <f t="shared" si="43"/>
        <v>0</v>
      </c>
      <c r="K121" s="54"/>
      <c r="L121" s="115"/>
      <c r="M121" s="54">
        <f t="shared" si="44"/>
        <v>0</v>
      </c>
      <c r="N121" s="115"/>
      <c r="O121" s="54">
        <f t="shared" si="45"/>
        <v>0</v>
      </c>
      <c r="P121" s="54">
        <f t="shared" si="46"/>
        <v>0</v>
      </c>
    </row>
    <row r="122" spans="2:16">
      <c r="B122" s="7" t="str">
        <f t="shared" si="47"/>
        <v/>
      </c>
      <c r="C122" s="50">
        <f>IF(D93="","-",+C121+1)</f>
        <v>2030</v>
      </c>
      <c r="D122" s="12">
        <f>IF(F121+SUM(E$99:E121)=D$92,F121,D$92-SUM(E$99:E121))</f>
        <v>41755</v>
      </c>
      <c r="E122" s="355">
        <f>IF(+J96&lt;F121,J96,D122)</f>
        <v>2282</v>
      </c>
      <c r="F122" s="55">
        <f t="shared" si="76"/>
        <v>39473</v>
      </c>
      <c r="G122" s="55">
        <f t="shared" si="77"/>
        <v>40614</v>
      </c>
      <c r="H122" s="355">
        <f t="shared" si="78"/>
        <v>7140.2908139792517</v>
      </c>
      <c r="I122" s="381">
        <f t="shared" si="79"/>
        <v>7140.2908139792517</v>
      </c>
      <c r="J122" s="54">
        <f t="shared" si="43"/>
        <v>0</v>
      </c>
      <c r="K122" s="54"/>
      <c r="L122" s="115"/>
      <c r="M122" s="54">
        <f t="shared" si="44"/>
        <v>0</v>
      </c>
      <c r="N122" s="115"/>
      <c r="O122" s="54">
        <f t="shared" si="45"/>
        <v>0</v>
      </c>
      <c r="P122" s="54">
        <f t="shared" si="46"/>
        <v>0</v>
      </c>
    </row>
    <row r="123" spans="2:16">
      <c r="B123" s="7" t="str">
        <f t="shared" si="47"/>
        <v/>
      </c>
      <c r="C123" s="50">
        <f>IF(D93="","-",+C122+1)</f>
        <v>2031</v>
      </c>
      <c r="D123" s="12">
        <f>IF(F122+SUM(E$99:E122)=D$92,F122,D$92-SUM(E$99:E122))</f>
        <v>39473</v>
      </c>
      <c r="E123" s="355">
        <f>IF(+J96&lt;F122,J96,D123)</f>
        <v>2282</v>
      </c>
      <c r="F123" s="55">
        <f t="shared" si="76"/>
        <v>37191</v>
      </c>
      <c r="G123" s="55">
        <f t="shared" si="77"/>
        <v>38332</v>
      </c>
      <c r="H123" s="355">
        <f t="shared" si="78"/>
        <v>6867.3154942003412</v>
      </c>
      <c r="I123" s="381">
        <f t="shared" si="79"/>
        <v>6867.3154942003412</v>
      </c>
      <c r="J123" s="54">
        <f t="shared" si="43"/>
        <v>0</v>
      </c>
      <c r="K123" s="54"/>
      <c r="L123" s="115"/>
      <c r="M123" s="54">
        <f t="shared" si="44"/>
        <v>0</v>
      </c>
      <c r="N123" s="115"/>
      <c r="O123" s="54">
        <f t="shared" si="45"/>
        <v>0</v>
      </c>
      <c r="P123" s="54">
        <f t="shared" si="46"/>
        <v>0</v>
      </c>
    </row>
    <row r="124" spans="2:16">
      <c r="B124" s="7" t="str">
        <f t="shared" si="47"/>
        <v/>
      </c>
      <c r="C124" s="50">
        <f>IF(D93="","-",+C123+1)</f>
        <v>2032</v>
      </c>
      <c r="D124" s="12">
        <f>IF(F123+SUM(E$99:E123)=D$92,F123,D$92-SUM(E$99:E123))</f>
        <v>37191</v>
      </c>
      <c r="E124" s="355">
        <f>IF(+J96&lt;F123,J96,D124)</f>
        <v>2282</v>
      </c>
      <c r="F124" s="55">
        <f t="shared" si="76"/>
        <v>34909</v>
      </c>
      <c r="G124" s="55">
        <f t="shared" si="77"/>
        <v>36050</v>
      </c>
      <c r="H124" s="355">
        <f t="shared" si="78"/>
        <v>6594.3401744214316</v>
      </c>
      <c r="I124" s="381">
        <f t="shared" si="79"/>
        <v>6594.3401744214316</v>
      </c>
      <c r="J124" s="54">
        <f t="shared" si="43"/>
        <v>0</v>
      </c>
      <c r="K124" s="54"/>
      <c r="L124" s="115"/>
      <c r="M124" s="54">
        <f t="shared" si="44"/>
        <v>0</v>
      </c>
      <c r="N124" s="115"/>
      <c r="O124" s="54">
        <f t="shared" si="45"/>
        <v>0</v>
      </c>
      <c r="P124" s="54">
        <f t="shared" si="46"/>
        <v>0</v>
      </c>
    </row>
    <row r="125" spans="2:16">
      <c r="B125" s="7" t="str">
        <f t="shared" si="47"/>
        <v/>
      </c>
      <c r="C125" s="50">
        <f>IF(D93="","-",+C124+1)</f>
        <v>2033</v>
      </c>
      <c r="D125" s="12">
        <f>IF(F124+SUM(E$99:E124)=D$92,F124,D$92-SUM(E$99:E124))</f>
        <v>34909</v>
      </c>
      <c r="E125" s="355">
        <f>IF(+J96&lt;F124,J96,D125)</f>
        <v>2282</v>
      </c>
      <c r="F125" s="55">
        <f t="shared" si="76"/>
        <v>32627</v>
      </c>
      <c r="G125" s="55">
        <f t="shared" si="77"/>
        <v>33768</v>
      </c>
      <c r="H125" s="355">
        <f t="shared" si="78"/>
        <v>6321.3648546425211</v>
      </c>
      <c r="I125" s="381">
        <f t="shared" si="79"/>
        <v>6321.3648546425211</v>
      </c>
      <c r="J125" s="54">
        <f t="shared" si="43"/>
        <v>0</v>
      </c>
      <c r="K125" s="54"/>
      <c r="L125" s="115"/>
      <c r="M125" s="54">
        <f t="shared" si="44"/>
        <v>0</v>
      </c>
      <c r="N125" s="115"/>
      <c r="O125" s="54">
        <f t="shared" si="45"/>
        <v>0</v>
      </c>
      <c r="P125" s="54">
        <f t="shared" si="46"/>
        <v>0</v>
      </c>
    </row>
    <row r="126" spans="2:16">
      <c r="B126" s="7" t="str">
        <f t="shared" si="47"/>
        <v/>
      </c>
      <c r="C126" s="50">
        <f>IF(D93="","-",+C125+1)</f>
        <v>2034</v>
      </c>
      <c r="D126" s="12">
        <f>IF(F125+SUM(E$99:E125)=D$92,F125,D$92-SUM(E$99:E125))</f>
        <v>32627</v>
      </c>
      <c r="E126" s="355">
        <f>IF(+J96&lt;F125,J96,D126)</f>
        <v>2282</v>
      </c>
      <c r="F126" s="55">
        <f t="shared" si="76"/>
        <v>30345</v>
      </c>
      <c r="G126" s="55">
        <f t="shared" si="77"/>
        <v>31486</v>
      </c>
      <c r="H126" s="355">
        <f t="shared" si="78"/>
        <v>6048.3895348636106</v>
      </c>
      <c r="I126" s="381">
        <f t="shared" si="79"/>
        <v>6048.3895348636106</v>
      </c>
      <c r="J126" s="54">
        <f t="shared" si="43"/>
        <v>0</v>
      </c>
      <c r="K126" s="54"/>
      <c r="L126" s="115"/>
      <c r="M126" s="54">
        <f t="shared" si="44"/>
        <v>0</v>
      </c>
      <c r="N126" s="115"/>
      <c r="O126" s="54">
        <f t="shared" si="45"/>
        <v>0</v>
      </c>
      <c r="P126" s="54">
        <f t="shared" si="46"/>
        <v>0</v>
      </c>
    </row>
    <row r="127" spans="2:16">
      <c r="B127" s="7" t="str">
        <f t="shared" si="47"/>
        <v/>
      </c>
      <c r="C127" s="50">
        <f>IF(D93="","-",+C126+1)</f>
        <v>2035</v>
      </c>
      <c r="D127" s="12">
        <f>IF(F126+SUM(E$99:E126)=D$92,F126,D$92-SUM(E$99:E126))</f>
        <v>30345</v>
      </c>
      <c r="E127" s="355">
        <f>IF(+J96&lt;F126,J96,D127)</f>
        <v>2282</v>
      </c>
      <c r="F127" s="55">
        <f t="shared" si="76"/>
        <v>28063</v>
      </c>
      <c r="G127" s="55">
        <f t="shared" si="77"/>
        <v>29204</v>
      </c>
      <c r="H127" s="355">
        <f t="shared" si="78"/>
        <v>5775.414215084701</v>
      </c>
      <c r="I127" s="381">
        <f t="shared" si="79"/>
        <v>5775.414215084701</v>
      </c>
      <c r="J127" s="54">
        <f t="shared" si="43"/>
        <v>0</v>
      </c>
      <c r="K127" s="54"/>
      <c r="L127" s="115"/>
      <c r="M127" s="54">
        <f t="shared" si="44"/>
        <v>0</v>
      </c>
      <c r="N127" s="115"/>
      <c r="O127" s="54">
        <f t="shared" si="45"/>
        <v>0</v>
      </c>
      <c r="P127" s="54">
        <f t="shared" si="46"/>
        <v>0</v>
      </c>
    </row>
    <row r="128" spans="2:16">
      <c r="B128" s="7" t="str">
        <f t="shared" si="47"/>
        <v/>
      </c>
      <c r="C128" s="50">
        <f>IF(D93="","-",+C127+1)</f>
        <v>2036</v>
      </c>
      <c r="D128" s="12">
        <f>IF(F127+SUM(E$99:E127)=D$92,F127,D$92-SUM(E$99:E127))</f>
        <v>28063</v>
      </c>
      <c r="E128" s="355">
        <f>IF(+J96&lt;F127,J96,D128)</f>
        <v>2282</v>
      </c>
      <c r="F128" s="55">
        <f t="shared" si="76"/>
        <v>25781</v>
      </c>
      <c r="G128" s="55">
        <f t="shared" si="77"/>
        <v>26922</v>
      </c>
      <c r="H128" s="355">
        <f t="shared" si="78"/>
        <v>5502.4388953057914</v>
      </c>
      <c r="I128" s="381">
        <f t="shared" si="79"/>
        <v>5502.4388953057914</v>
      </c>
      <c r="J128" s="54">
        <f t="shared" si="43"/>
        <v>0</v>
      </c>
      <c r="K128" s="54"/>
      <c r="L128" s="115"/>
      <c r="M128" s="54">
        <f t="shared" si="44"/>
        <v>0</v>
      </c>
      <c r="N128" s="115"/>
      <c r="O128" s="54">
        <f t="shared" si="45"/>
        <v>0</v>
      </c>
      <c r="P128" s="54">
        <f t="shared" si="46"/>
        <v>0</v>
      </c>
    </row>
    <row r="129" spans="2:16">
      <c r="B129" s="7" t="str">
        <f t="shared" si="47"/>
        <v/>
      </c>
      <c r="C129" s="50">
        <f>IF(D93="","-",+C128+1)</f>
        <v>2037</v>
      </c>
      <c r="D129" s="12">
        <f>IF(F128+SUM(E$99:E128)=D$92,F128,D$92-SUM(E$99:E128))</f>
        <v>25781</v>
      </c>
      <c r="E129" s="355">
        <f>IF(+J96&lt;F128,J96,D129)</f>
        <v>2282</v>
      </c>
      <c r="F129" s="55">
        <f t="shared" si="76"/>
        <v>23499</v>
      </c>
      <c r="G129" s="55">
        <f t="shared" si="77"/>
        <v>24640</v>
      </c>
      <c r="H129" s="355">
        <f t="shared" si="78"/>
        <v>5229.463575526881</v>
      </c>
      <c r="I129" s="381">
        <f t="shared" si="79"/>
        <v>5229.463575526881</v>
      </c>
      <c r="J129" s="54">
        <f t="shared" si="43"/>
        <v>0</v>
      </c>
      <c r="K129" s="54"/>
      <c r="L129" s="115"/>
      <c r="M129" s="54">
        <f t="shared" si="44"/>
        <v>0</v>
      </c>
      <c r="N129" s="115"/>
      <c r="O129" s="54">
        <f t="shared" si="45"/>
        <v>0</v>
      </c>
      <c r="P129" s="54">
        <f t="shared" si="46"/>
        <v>0</v>
      </c>
    </row>
    <row r="130" spans="2:16">
      <c r="B130" s="7" t="str">
        <f t="shared" si="47"/>
        <v/>
      </c>
      <c r="C130" s="50">
        <f>IF(D93="","-",+C129+1)</f>
        <v>2038</v>
      </c>
      <c r="D130" s="12">
        <f>IF(F129+SUM(E$99:E129)=D$92,F129,D$92-SUM(E$99:E129))</f>
        <v>23499</v>
      </c>
      <c r="E130" s="355">
        <f>IF(+J96&lt;F129,J96,D130)</f>
        <v>2282</v>
      </c>
      <c r="F130" s="55">
        <f t="shared" ref="F130:F153" si="80">+D130-E130</f>
        <v>21217</v>
      </c>
      <c r="G130" s="55">
        <f t="shared" ref="G130:G153" si="81">+(F130+D130)/2</f>
        <v>22358</v>
      </c>
      <c r="H130" s="355">
        <f t="shared" si="78"/>
        <v>4956.4882557479705</v>
      </c>
      <c r="I130" s="381">
        <f t="shared" si="79"/>
        <v>4956.4882557479705</v>
      </c>
      <c r="J130" s="54">
        <f t="shared" si="43"/>
        <v>0</v>
      </c>
      <c r="K130" s="54"/>
      <c r="L130" s="115"/>
      <c r="M130" s="54">
        <f t="shared" si="44"/>
        <v>0</v>
      </c>
      <c r="N130" s="115"/>
      <c r="O130" s="54">
        <f t="shared" si="45"/>
        <v>0</v>
      </c>
      <c r="P130" s="54">
        <f t="shared" si="46"/>
        <v>0</v>
      </c>
    </row>
    <row r="131" spans="2:16">
      <c r="B131" s="7" t="str">
        <f t="shared" si="47"/>
        <v/>
      </c>
      <c r="C131" s="50">
        <f>IF(D93="","-",+C130+1)</f>
        <v>2039</v>
      </c>
      <c r="D131" s="12">
        <f>IF(F130+SUM(E$99:E130)=D$92,F130,D$92-SUM(E$99:E130))</f>
        <v>21217</v>
      </c>
      <c r="E131" s="355">
        <f>IF(+J96&lt;F130,J96,D131)</f>
        <v>2282</v>
      </c>
      <c r="F131" s="55">
        <f t="shared" si="80"/>
        <v>18935</v>
      </c>
      <c r="G131" s="55">
        <f t="shared" si="81"/>
        <v>20076</v>
      </c>
      <c r="H131" s="355">
        <f t="shared" si="78"/>
        <v>4683.5129359690609</v>
      </c>
      <c r="I131" s="381">
        <f t="shared" si="79"/>
        <v>4683.5129359690609</v>
      </c>
      <c r="J131" s="54">
        <f t="shared" ref="J131:J154" si="82">+I382-H382</f>
        <v>0</v>
      </c>
      <c r="K131" s="54"/>
      <c r="L131" s="115"/>
      <c r="M131" s="54">
        <f t="shared" ref="M131:M154" si="83">IF(L382&lt;&gt;0,+H382-L382,0)</f>
        <v>0</v>
      </c>
      <c r="N131" s="115"/>
      <c r="O131" s="54">
        <f t="shared" ref="O131:O154" si="84">IF(N382&lt;&gt;0,+I382-N382,0)</f>
        <v>0</v>
      </c>
      <c r="P131" s="54">
        <f t="shared" ref="P131:P154" si="85">+O382-M382</f>
        <v>0</v>
      </c>
    </row>
    <row r="132" spans="2:16">
      <c r="B132" s="7" t="str">
        <f t="shared" si="47"/>
        <v/>
      </c>
      <c r="C132" s="50">
        <f>IF(D93="","-",+C131+1)</f>
        <v>2040</v>
      </c>
      <c r="D132" s="12">
        <f>IF(F131+SUM(E$99:E131)=D$92,F131,D$92-SUM(E$99:E131))</f>
        <v>18935</v>
      </c>
      <c r="E132" s="355">
        <f>IF(+J96&lt;F131,J96,D132)</f>
        <v>2282</v>
      </c>
      <c r="F132" s="55">
        <f t="shared" si="80"/>
        <v>16653</v>
      </c>
      <c r="G132" s="55">
        <f t="shared" si="81"/>
        <v>17794</v>
      </c>
      <c r="H132" s="355">
        <f t="shared" si="78"/>
        <v>4410.5376161901513</v>
      </c>
      <c r="I132" s="381">
        <f t="shared" si="79"/>
        <v>4410.5376161901513</v>
      </c>
      <c r="J132" s="54">
        <f t="shared" si="82"/>
        <v>0</v>
      </c>
      <c r="K132" s="54"/>
      <c r="L132" s="115"/>
      <c r="M132" s="54">
        <f t="shared" si="83"/>
        <v>0</v>
      </c>
      <c r="N132" s="115"/>
      <c r="O132" s="54">
        <f t="shared" si="84"/>
        <v>0</v>
      </c>
      <c r="P132" s="54">
        <f t="shared" si="85"/>
        <v>0</v>
      </c>
    </row>
    <row r="133" spans="2:16">
      <c r="B133" s="7" t="str">
        <f t="shared" si="47"/>
        <v/>
      </c>
      <c r="C133" s="50">
        <f>IF(D93="","-",+C132+1)</f>
        <v>2041</v>
      </c>
      <c r="D133" s="12">
        <f>IF(F132+SUM(E$99:E132)=D$92,F132,D$92-SUM(E$99:E132))</f>
        <v>16653</v>
      </c>
      <c r="E133" s="355">
        <f>IF(+J96&lt;F132,J96,D133)</f>
        <v>2282</v>
      </c>
      <c r="F133" s="55">
        <f t="shared" si="80"/>
        <v>14371</v>
      </c>
      <c r="G133" s="55">
        <f t="shared" si="81"/>
        <v>15512</v>
      </c>
      <c r="H133" s="355">
        <f t="shared" si="78"/>
        <v>4137.5622964112408</v>
      </c>
      <c r="I133" s="381">
        <f t="shared" si="79"/>
        <v>4137.5622964112408</v>
      </c>
      <c r="J133" s="54">
        <f t="shared" si="82"/>
        <v>0</v>
      </c>
      <c r="K133" s="54"/>
      <c r="L133" s="115"/>
      <c r="M133" s="54">
        <f t="shared" si="83"/>
        <v>0</v>
      </c>
      <c r="N133" s="115"/>
      <c r="O133" s="54">
        <f t="shared" si="84"/>
        <v>0</v>
      </c>
      <c r="P133" s="54">
        <f t="shared" si="85"/>
        <v>0</v>
      </c>
    </row>
    <row r="134" spans="2:16">
      <c r="B134" s="7" t="str">
        <f t="shared" si="47"/>
        <v/>
      </c>
      <c r="C134" s="50">
        <f>IF(D93="","-",+C133+1)</f>
        <v>2042</v>
      </c>
      <c r="D134" s="12">
        <f>IF(F133+SUM(E$99:E133)=D$92,F133,D$92-SUM(E$99:E133))</f>
        <v>14371</v>
      </c>
      <c r="E134" s="355">
        <f>IF(+J96&lt;F133,J96,D134)</f>
        <v>2282</v>
      </c>
      <c r="F134" s="55">
        <f t="shared" si="80"/>
        <v>12089</v>
      </c>
      <c r="G134" s="55">
        <f t="shared" si="81"/>
        <v>13230</v>
      </c>
      <c r="H134" s="355">
        <f t="shared" si="78"/>
        <v>3864.5869766323312</v>
      </c>
      <c r="I134" s="381">
        <f t="shared" si="79"/>
        <v>3864.5869766323312</v>
      </c>
      <c r="J134" s="54">
        <f t="shared" si="82"/>
        <v>0</v>
      </c>
      <c r="K134" s="54"/>
      <c r="L134" s="115"/>
      <c r="M134" s="54">
        <f t="shared" si="83"/>
        <v>0</v>
      </c>
      <c r="N134" s="115"/>
      <c r="O134" s="54">
        <f t="shared" si="84"/>
        <v>0</v>
      </c>
      <c r="P134" s="54">
        <f t="shared" si="85"/>
        <v>0</v>
      </c>
    </row>
    <row r="135" spans="2:16">
      <c r="B135" s="7" t="str">
        <f t="shared" si="47"/>
        <v/>
      </c>
      <c r="C135" s="50">
        <f>IF(D93="","-",+C134+1)</f>
        <v>2043</v>
      </c>
      <c r="D135" s="12">
        <f>IF(F134+SUM(E$99:E134)=D$92,F134,D$92-SUM(E$99:E134))</f>
        <v>12089</v>
      </c>
      <c r="E135" s="355">
        <f>IF(+J96&lt;F134,J96,D135)</f>
        <v>2282</v>
      </c>
      <c r="F135" s="55">
        <f t="shared" si="80"/>
        <v>9807</v>
      </c>
      <c r="G135" s="55">
        <f t="shared" si="81"/>
        <v>10948</v>
      </c>
      <c r="H135" s="355">
        <f t="shared" si="78"/>
        <v>3591.6116568534208</v>
      </c>
      <c r="I135" s="381">
        <f t="shared" si="79"/>
        <v>3591.6116568534208</v>
      </c>
      <c r="J135" s="54">
        <f t="shared" si="82"/>
        <v>0</v>
      </c>
      <c r="K135" s="54"/>
      <c r="L135" s="115"/>
      <c r="M135" s="54">
        <f t="shared" si="83"/>
        <v>0</v>
      </c>
      <c r="N135" s="115"/>
      <c r="O135" s="54">
        <f t="shared" si="84"/>
        <v>0</v>
      </c>
      <c r="P135" s="54">
        <f t="shared" si="85"/>
        <v>0</v>
      </c>
    </row>
    <row r="136" spans="2:16">
      <c r="B136" s="7" t="str">
        <f t="shared" si="47"/>
        <v/>
      </c>
      <c r="C136" s="50">
        <f>IF(D93="","-",+C135+1)</f>
        <v>2044</v>
      </c>
      <c r="D136" s="12">
        <f>IF(F135+SUM(E$99:E135)=D$92,F135,D$92-SUM(E$99:E135))</f>
        <v>9807</v>
      </c>
      <c r="E136" s="355">
        <f>IF(+J96&lt;F135,J96,D136)</f>
        <v>2282</v>
      </c>
      <c r="F136" s="55">
        <f t="shared" si="80"/>
        <v>7525</v>
      </c>
      <c r="G136" s="55">
        <f t="shared" si="81"/>
        <v>8666</v>
      </c>
      <c r="H136" s="355">
        <f t="shared" si="78"/>
        <v>3318.6363370745112</v>
      </c>
      <c r="I136" s="381">
        <f t="shared" si="79"/>
        <v>3318.6363370745112</v>
      </c>
      <c r="J136" s="54">
        <f t="shared" si="82"/>
        <v>0</v>
      </c>
      <c r="K136" s="54"/>
      <c r="L136" s="115"/>
      <c r="M136" s="54">
        <f t="shared" si="83"/>
        <v>0</v>
      </c>
      <c r="N136" s="115"/>
      <c r="O136" s="54">
        <f t="shared" si="84"/>
        <v>0</v>
      </c>
      <c r="P136" s="54">
        <f t="shared" si="85"/>
        <v>0</v>
      </c>
    </row>
    <row r="137" spans="2:16">
      <c r="B137" s="7" t="str">
        <f t="shared" si="47"/>
        <v/>
      </c>
      <c r="C137" s="50">
        <f>IF(D93="","-",+C136+1)</f>
        <v>2045</v>
      </c>
      <c r="D137" s="12">
        <f>IF(F136+SUM(E$99:E136)=D$92,F136,D$92-SUM(E$99:E136))</f>
        <v>7525</v>
      </c>
      <c r="E137" s="355">
        <f>IF(+J96&lt;F136,J96,D137)</f>
        <v>2282</v>
      </c>
      <c r="F137" s="55">
        <f t="shared" si="80"/>
        <v>5243</v>
      </c>
      <c r="G137" s="55">
        <f t="shared" si="81"/>
        <v>6384</v>
      </c>
      <c r="H137" s="355">
        <f t="shared" si="78"/>
        <v>3045.6610172956011</v>
      </c>
      <c r="I137" s="381">
        <f t="shared" si="79"/>
        <v>3045.6610172956011</v>
      </c>
      <c r="J137" s="54">
        <f t="shared" si="82"/>
        <v>0</v>
      </c>
      <c r="K137" s="54"/>
      <c r="L137" s="115"/>
      <c r="M137" s="54">
        <f t="shared" si="83"/>
        <v>0</v>
      </c>
      <c r="N137" s="115"/>
      <c r="O137" s="54">
        <f t="shared" si="84"/>
        <v>0</v>
      </c>
      <c r="P137" s="54">
        <f t="shared" si="85"/>
        <v>0</v>
      </c>
    </row>
    <row r="138" spans="2:16">
      <c r="B138" s="7" t="str">
        <f t="shared" si="47"/>
        <v/>
      </c>
      <c r="C138" s="50">
        <f>IF(D93="","-",+C137+1)</f>
        <v>2046</v>
      </c>
      <c r="D138" s="12">
        <f>IF(F137+SUM(E$99:E137)=D$92,F137,D$92-SUM(E$99:E137))</f>
        <v>5243</v>
      </c>
      <c r="E138" s="355">
        <f>IF(+J96&lt;F137,J96,D138)</f>
        <v>2282</v>
      </c>
      <c r="F138" s="55">
        <f t="shared" si="80"/>
        <v>2961</v>
      </c>
      <c r="G138" s="55">
        <f t="shared" si="81"/>
        <v>4102</v>
      </c>
      <c r="H138" s="355">
        <f t="shared" si="78"/>
        <v>2772.6856975166911</v>
      </c>
      <c r="I138" s="381">
        <f t="shared" si="79"/>
        <v>2772.6856975166911</v>
      </c>
      <c r="J138" s="54">
        <f t="shared" si="82"/>
        <v>0</v>
      </c>
      <c r="K138" s="54"/>
      <c r="L138" s="115"/>
      <c r="M138" s="54">
        <f t="shared" si="83"/>
        <v>0</v>
      </c>
      <c r="N138" s="115"/>
      <c r="O138" s="54">
        <f t="shared" si="84"/>
        <v>0</v>
      </c>
      <c r="P138" s="54">
        <f t="shared" si="85"/>
        <v>0</v>
      </c>
    </row>
    <row r="139" spans="2:16">
      <c r="B139" s="7" t="str">
        <f t="shared" si="47"/>
        <v/>
      </c>
      <c r="C139" s="50">
        <f>IF(D93="","-",+C138+1)</f>
        <v>2047</v>
      </c>
      <c r="D139" s="12">
        <f>IF(F138+SUM(E$99:E138)=D$92,F138,D$92-SUM(E$99:E138))</f>
        <v>2961</v>
      </c>
      <c r="E139" s="355">
        <f>IF(+J96&lt;F138,J96,D139)</f>
        <v>2282</v>
      </c>
      <c r="F139" s="55">
        <f t="shared" si="80"/>
        <v>679</v>
      </c>
      <c r="G139" s="55">
        <f t="shared" si="81"/>
        <v>1820</v>
      </c>
      <c r="H139" s="355">
        <f t="shared" si="78"/>
        <v>2499.7103777377811</v>
      </c>
      <c r="I139" s="381">
        <f t="shared" si="79"/>
        <v>2499.7103777377811</v>
      </c>
      <c r="J139" s="54">
        <f t="shared" si="82"/>
        <v>0</v>
      </c>
      <c r="K139" s="54"/>
      <c r="L139" s="115"/>
      <c r="M139" s="54">
        <f t="shared" si="83"/>
        <v>0</v>
      </c>
      <c r="N139" s="115"/>
      <c r="O139" s="54">
        <f t="shared" si="84"/>
        <v>0</v>
      </c>
      <c r="P139" s="54">
        <f t="shared" si="85"/>
        <v>0</v>
      </c>
    </row>
    <row r="140" spans="2:16">
      <c r="B140" s="7" t="str">
        <f t="shared" si="47"/>
        <v/>
      </c>
      <c r="C140" s="50">
        <f>IF(D93="","-",+C139+1)</f>
        <v>2048</v>
      </c>
      <c r="D140" s="12">
        <f>IF(F139+SUM(E$99:E139)=D$92,F139,D$92-SUM(E$99:E139))</f>
        <v>679</v>
      </c>
      <c r="E140" s="355">
        <f>IF(+J96&lt;F139,J96,D140)</f>
        <v>679</v>
      </c>
      <c r="F140" s="55">
        <f t="shared" si="80"/>
        <v>0</v>
      </c>
      <c r="G140" s="55">
        <f t="shared" si="81"/>
        <v>339.5</v>
      </c>
      <c r="H140" s="355">
        <f t="shared" si="78"/>
        <v>719.61135892416303</v>
      </c>
      <c r="I140" s="381">
        <f t="shared" si="79"/>
        <v>719.61135892416303</v>
      </c>
      <c r="J140" s="54">
        <f t="shared" si="82"/>
        <v>0</v>
      </c>
      <c r="K140" s="54"/>
      <c r="L140" s="115"/>
      <c r="M140" s="54">
        <f t="shared" si="83"/>
        <v>0</v>
      </c>
      <c r="N140" s="115"/>
      <c r="O140" s="54">
        <f t="shared" si="84"/>
        <v>0</v>
      </c>
      <c r="P140" s="54">
        <f t="shared" si="85"/>
        <v>0</v>
      </c>
    </row>
    <row r="141" spans="2:16">
      <c r="B141" s="7" t="str">
        <f t="shared" si="47"/>
        <v/>
      </c>
      <c r="C141" s="50">
        <f>IF(D93="","-",+C140+1)</f>
        <v>2049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80"/>
        <v>0</v>
      </c>
      <c r="G141" s="55">
        <f t="shared" si="81"/>
        <v>0</v>
      </c>
      <c r="H141" s="355">
        <f t="shared" si="78"/>
        <v>0</v>
      </c>
      <c r="I141" s="381">
        <f t="shared" si="79"/>
        <v>0</v>
      </c>
      <c r="J141" s="54">
        <f t="shared" si="82"/>
        <v>0</v>
      </c>
      <c r="K141" s="54"/>
      <c r="L141" s="115"/>
      <c r="M141" s="54">
        <f t="shared" si="83"/>
        <v>0</v>
      </c>
      <c r="N141" s="115"/>
      <c r="O141" s="54">
        <f t="shared" si="84"/>
        <v>0</v>
      </c>
      <c r="P141" s="54">
        <f t="shared" si="85"/>
        <v>0</v>
      </c>
    </row>
    <row r="142" spans="2:16">
      <c r="B142" s="7" t="str">
        <f t="shared" si="47"/>
        <v/>
      </c>
      <c r="C142" s="50">
        <f>IF(D93="","-",+C141+1)</f>
        <v>2050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80"/>
        <v>0</v>
      </c>
      <c r="G142" s="55">
        <f t="shared" si="81"/>
        <v>0</v>
      </c>
      <c r="H142" s="355">
        <f t="shared" si="78"/>
        <v>0</v>
      </c>
      <c r="I142" s="381">
        <f t="shared" si="79"/>
        <v>0</v>
      </c>
      <c r="J142" s="54">
        <f t="shared" si="82"/>
        <v>0</v>
      </c>
      <c r="K142" s="54"/>
      <c r="L142" s="115"/>
      <c r="M142" s="54">
        <f t="shared" si="83"/>
        <v>0</v>
      </c>
      <c r="N142" s="115"/>
      <c r="O142" s="54">
        <f t="shared" si="84"/>
        <v>0</v>
      </c>
      <c r="P142" s="54">
        <f t="shared" si="85"/>
        <v>0</v>
      </c>
    </row>
    <row r="143" spans="2:16">
      <c r="B143" s="7" t="str">
        <f t="shared" si="47"/>
        <v/>
      </c>
      <c r="C143" s="50">
        <f>IF(D93="","-",+C142+1)</f>
        <v>2051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80"/>
        <v>0</v>
      </c>
      <c r="G143" s="55">
        <f t="shared" si="81"/>
        <v>0</v>
      </c>
      <c r="H143" s="355">
        <f t="shared" si="78"/>
        <v>0</v>
      </c>
      <c r="I143" s="381">
        <f t="shared" si="79"/>
        <v>0</v>
      </c>
      <c r="J143" s="54">
        <f t="shared" si="82"/>
        <v>0</v>
      </c>
      <c r="K143" s="54"/>
      <c r="L143" s="115"/>
      <c r="M143" s="54">
        <f t="shared" si="83"/>
        <v>0</v>
      </c>
      <c r="N143" s="115"/>
      <c r="O143" s="54">
        <f t="shared" si="84"/>
        <v>0</v>
      </c>
      <c r="P143" s="54">
        <f t="shared" si="85"/>
        <v>0</v>
      </c>
    </row>
    <row r="144" spans="2:16">
      <c r="B144" s="7" t="str">
        <f t="shared" si="47"/>
        <v/>
      </c>
      <c r="C144" s="50">
        <f>IF(D93="","-",+C143+1)</f>
        <v>2052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80"/>
        <v>0</v>
      </c>
      <c r="G144" s="55">
        <f t="shared" si="81"/>
        <v>0</v>
      </c>
      <c r="H144" s="355">
        <f t="shared" si="78"/>
        <v>0</v>
      </c>
      <c r="I144" s="381">
        <f t="shared" si="79"/>
        <v>0</v>
      </c>
      <c r="J144" s="54">
        <f t="shared" si="82"/>
        <v>0</v>
      </c>
      <c r="K144" s="54"/>
      <c r="L144" s="115"/>
      <c r="M144" s="54">
        <f t="shared" si="83"/>
        <v>0</v>
      </c>
      <c r="N144" s="115"/>
      <c r="O144" s="54">
        <f t="shared" si="84"/>
        <v>0</v>
      </c>
      <c r="P144" s="54">
        <f t="shared" si="85"/>
        <v>0</v>
      </c>
    </row>
    <row r="145" spans="2:16">
      <c r="B145" s="7" t="str">
        <f t="shared" si="47"/>
        <v/>
      </c>
      <c r="C145" s="50">
        <f>IF(D93="","-",+C144+1)</f>
        <v>2053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80"/>
        <v>0</v>
      </c>
      <c r="G145" s="55">
        <f t="shared" si="81"/>
        <v>0</v>
      </c>
      <c r="H145" s="355">
        <f t="shared" si="78"/>
        <v>0</v>
      </c>
      <c r="I145" s="381">
        <f t="shared" si="79"/>
        <v>0</v>
      </c>
      <c r="J145" s="54">
        <f t="shared" si="82"/>
        <v>0</v>
      </c>
      <c r="K145" s="54"/>
      <c r="L145" s="115"/>
      <c r="M145" s="54">
        <f t="shared" si="83"/>
        <v>0</v>
      </c>
      <c r="N145" s="115"/>
      <c r="O145" s="54">
        <f t="shared" si="84"/>
        <v>0</v>
      </c>
      <c r="P145" s="54">
        <f t="shared" si="85"/>
        <v>0</v>
      </c>
    </row>
    <row r="146" spans="2:16">
      <c r="B146" s="7" t="str">
        <f t="shared" si="47"/>
        <v/>
      </c>
      <c r="C146" s="50">
        <f>IF(D93="","-",+C145+1)</f>
        <v>2054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80"/>
        <v>0</v>
      </c>
      <c r="G146" s="55">
        <f t="shared" si="81"/>
        <v>0</v>
      </c>
      <c r="H146" s="355">
        <f t="shared" si="78"/>
        <v>0</v>
      </c>
      <c r="I146" s="381">
        <f t="shared" si="79"/>
        <v>0</v>
      </c>
      <c r="J146" s="54">
        <f t="shared" si="82"/>
        <v>0</v>
      </c>
      <c r="K146" s="54"/>
      <c r="L146" s="115"/>
      <c r="M146" s="54">
        <f t="shared" si="83"/>
        <v>0</v>
      </c>
      <c r="N146" s="115"/>
      <c r="O146" s="54">
        <f t="shared" si="84"/>
        <v>0</v>
      </c>
      <c r="P146" s="54">
        <f t="shared" si="85"/>
        <v>0</v>
      </c>
    </row>
    <row r="147" spans="2:16">
      <c r="B147" s="7" t="str">
        <f t="shared" si="47"/>
        <v/>
      </c>
      <c r="C147" s="50">
        <f>IF(D93="","-",+C146+1)</f>
        <v>2055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80"/>
        <v>0</v>
      </c>
      <c r="G147" s="55">
        <f t="shared" si="81"/>
        <v>0</v>
      </c>
      <c r="H147" s="355">
        <f t="shared" si="78"/>
        <v>0</v>
      </c>
      <c r="I147" s="381">
        <f t="shared" si="79"/>
        <v>0</v>
      </c>
      <c r="J147" s="54">
        <f t="shared" si="82"/>
        <v>0</v>
      </c>
      <c r="K147" s="54"/>
      <c r="L147" s="115"/>
      <c r="M147" s="54">
        <f t="shared" si="83"/>
        <v>0</v>
      </c>
      <c r="N147" s="115"/>
      <c r="O147" s="54">
        <f t="shared" si="84"/>
        <v>0</v>
      </c>
      <c r="P147" s="54">
        <f t="shared" si="85"/>
        <v>0</v>
      </c>
    </row>
    <row r="148" spans="2:16">
      <c r="B148" s="7" t="str">
        <f t="shared" si="47"/>
        <v/>
      </c>
      <c r="C148" s="50">
        <f>IF(D93="","-",+C147+1)</f>
        <v>2056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80"/>
        <v>0</v>
      </c>
      <c r="G148" s="55">
        <f t="shared" si="81"/>
        <v>0</v>
      </c>
      <c r="H148" s="355">
        <f t="shared" si="78"/>
        <v>0</v>
      </c>
      <c r="I148" s="381">
        <f t="shared" si="79"/>
        <v>0</v>
      </c>
      <c r="J148" s="54">
        <f t="shared" si="82"/>
        <v>0</v>
      </c>
      <c r="K148" s="54"/>
      <c r="L148" s="115"/>
      <c r="M148" s="54">
        <f t="shared" si="83"/>
        <v>0</v>
      </c>
      <c r="N148" s="115"/>
      <c r="O148" s="54">
        <f t="shared" si="84"/>
        <v>0</v>
      </c>
      <c r="P148" s="54">
        <f t="shared" si="85"/>
        <v>0</v>
      </c>
    </row>
    <row r="149" spans="2:16">
      <c r="B149" s="7" t="str">
        <f t="shared" si="47"/>
        <v/>
      </c>
      <c r="C149" s="50">
        <f>IF(D93="","-",+C148+1)</f>
        <v>2057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80"/>
        <v>0</v>
      </c>
      <c r="G149" s="55">
        <f t="shared" si="81"/>
        <v>0</v>
      </c>
      <c r="H149" s="355">
        <f t="shared" si="78"/>
        <v>0</v>
      </c>
      <c r="I149" s="381">
        <f t="shared" si="79"/>
        <v>0</v>
      </c>
      <c r="J149" s="54">
        <f t="shared" si="82"/>
        <v>0</v>
      </c>
      <c r="K149" s="54"/>
      <c r="L149" s="115"/>
      <c r="M149" s="54">
        <f t="shared" si="83"/>
        <v>0</v>
      </c>
      <c r="N149" s="115"/>
      <c r="O149" s="54">
        <f t="shared" si="84"/>
        <v>0</v>
      </c>
      <c r="P149" s="54">
        <f t="shared" si="85"/>
        <v>0</v>
      </c>
    </row>
    <row r="150" spans="2:16">
      <c r="B150" s="7" t="str">
        <f t="shared" si="47"/>
        <v/>
      </c>
      <c r="C150" s="50">
        <f>IF(D93="","-",+C149+1)</f>
        <v>2058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80"/>
        <v>0</v>
      </c>
      <c r="G150" s="55">
        <f t="shared" si="81"/>
        <v>0</v>
      </c>
      <c r="H150" s="355">
        <f t="shared" si="78"/>
        <v>0</v>
      </c>
      <c r="I150" s="381">
        <f t="shared" si="79"/>
        <v>0</v>
      </c>
      <c r="J150" s="54">
        <f t="shared" si="82"/>
        <v>0</v>
      </c>
      <c r="K150" s="54"/>
      <c r="L150" s="115"/>
      <c r="M150" s="54">
        <f t="shared" si="83"/>
        <v>0</v>
      </c>
      <c r="N150" s="115"/>
      <c r="O150" s="54">
        <f t="shared" si="84"/>
        <v>0</v>
      </c>
      <c r="P150" s="54">
        <f t="shared" si="85"/>
        <v>0</v>
      </c>
    </row>
    <row r="151" spans="2:16">
      <c r="B151" s="7" t="str">
        <f t="shared" si="47"/>
        <v/>
      </c>
      <c r="C151" s="50">
        <f>IF(D93="","-",+C150+1)</f>
        <v>2059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80"/>
        <v>0</v>
      </c>
      <c r="G151" s="55">
        <f t="shared" si="81"/>
        <v>0</v>
      </c>
      <c r="H151" s="355">
        <f t="shared" si="78"/>
        <v>0</v>
      </c>
      <c r="I151" s="381">
        <f t="shared" si="79"/>
        <v>0</v>
      </c>
      <c r="J151" s="54">
        <f t="shared" si="82"/>
        <v>0</v>
      </c>
      <c r="K151" s="54"/>
      <c r="L151" s="115"/>
      <c r="M151" s="54">
        <f t="shared" si="83"/>
        <v>0</v>
      </c>
      <c r="N151" s="115"/>
      <c r="O151" s="54">
        <f t="shared" si="84"/>
        <v>0</v>
      </c>
      <c r="P151" s="54">
        <f t="shared" si="85"/>
        <v>0</v>
      </c>
    </row>
    <row r="152" spans="2:16">
      <c r="B152" s="7" t="str">
        <f t="shared" si="47"/>
        <v/>
      </c>
      <c r="C152" s="50">
        <f>IF(D93="","-",+C151+1)</f>
        <v>2060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80"/>
        <v>0</v>
      </c>
      <c r="G152" s="55">
        <f t="shared" si="81"/>
        <v>0</v>
      </c>
      <c r="H152" s="355">
        <f t="shared" si="78"/>
        <v>0</v>
      </c>
      <c r="I152" s="381">
        <f t="shared" si="79"/>
        <v>0</v>
      </c>
      <c r="J152" s="54">
        <f t="shared" si="82"/>
        <v>0</v>
      </c>
      <c r="K152" s="54"/>
      <c r="L152" s="115"/>
      <c r="M152" s="54">
        <f t="shared" si="83"/>
        <v>0</v>
      </c>
      <c r="N152" s="115"/>
      <c r="O152" s="54">
        <f t="shared" si="84"/>
        <v>0</v>
      </c>
      <c r="P152" s="54">
        <f t="shared" si="85"/>
        <v>0</v>
      </c>
    </row>
    <row r="153" spans="2:16">
      <c r="B153" s="7" t="str">
        <f t="shared" si="47"/>
        <v/>
      </c>
      <c r="C153" s="50">
        <f>IF(D93="","-",+C152+1)</f>
        <v>2061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80"/>
        <v>0</v>
      </c>
      <c r="G153" s="55">
        <f t="shared" si="81"/>
        <v>0</v>
      </c>
      <c r="H153" s="355">
        <f t="shared" si="78"/>
        <v>0</v>
      </c>
      <c r="I153" s="381">
        <f t="shared" si="79"/>
        <v>0</v>
      </c>
      <c r="J153" s="54">
        <f t="shared" si="82"/>
        <v>0</v>
      </c>
      <c r="K153" s="54"/>
      <c r="L153" s="115"/>
      <c r="M153" s="54">
        <f t="shared" si="83"/>
        <v>0</v>
      </c>
      <c r="N153" s="115"/>
      <c r="O153" s="54">
        <f t="shared" si="84"/>
        <v>0</v>
      </c>
      <c r="P153" s="54">
        <f t="shared" si="85"/>
        <v>0</v>
      </c>
    </row>
    <row r="154" spans="2:16" ht="13.5" thickBot="1">
      <c r="B154" s="7" t="str">
        <f t="shared" si="47"/>
        <v/>
      </c>
      <c r="C154" s="58">
        <f>IF(D93="","-",+C153+1)</f>
        <v>2062</v>
      </c>
      <c r="D154" s="82">
        <f>IF(F153+SUM(E$99:E153)=D$92,F153,D$92-SUM(E$99:E153))</f>
        <v>0</v>
      </c>
      <c r="E154" s="382">
        <f>IF(+J96&lt;F153,J96,D154)</f>
        <v>0</v>
      </c>
      <c r="F154" s="59">
        <f>+D154-E154</f>
        <v>0</v>
      </c>
      <c r="G154" s="59">
        <f>+(F154+D154)/2</f>
        <v>0</v>
      </c>
      <c r="H154" s="358">
        <f t="shared" ref="H154" si="86">+J$94*G154+E154</f>
        <v>0</v>
      </c>
      <c r="I154" s="383">
        <f t="shared" ref="I154" si="87">+J$95*G154+E154</f>
        <v>0</v>
      </c>
      <c r="J154" s="62">
        <f t="shared" si="82"/>
        <v>0</v>
      </c>
      <c r="K154" s="54"/>
      <c r="L154" s="116"/>
      <c r="M154" s="62">
        <f t="shared" si="83"/>
        <v>0</v>
      </c>
      <c r="N154" s="116"/>
      <c r="O154" s="62">
        <f t="shared" si="84"/>
        <v>0</v>
      </c>
      <c r="P154" s="62">
        <f t="shared" si="85"/>
        <v>0</v>
      </c>
    </row>
    <row r="155" spans="2:16">
      <c r="C155" s="12" t="s">
        <v>77</v>
      </c>
      <c r="D155" s="266"/>
      <c r="E155" s="266">
        <f>SUM(E99:E154)</f>
        <v>84424</v>
      </c>
      <c r="F155" s="266"/>
      <c r="G155" s="266"/>
      <c r="H155" s="266">
        <f>SUM(H99:H154)</f>
        <v>315855.86052364606</v>
      </c>
      <c r="I155" s="266">
        <f>SUM(I99:I154)</f>
        <v>315855.86052364606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148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1" priority="1" stopIfTrue="1" operator="equal">
      <formula>$I$10</formula>
    </cfRule>
  </conditionalFormatting>
  <conditionalFormatting sqref="C99:C154">
    <cfRule type="cellIs" dxfId="6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>
    <tabColor rgb="FFC00000"/>
  </sheetPr>
  <dimension ref="A1:P162"/>
  <sheetViews>
    <sheetView topLeftCell="A77" zoomScaleNormal="100" zoomScaleSheetLayoutView="75" workbookViewId="0">
      <selection activeCell="D100" sqref="D10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8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5184.3313183350274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5184.3313183350274</v>
      </c>
      <c r="O6" s="1"/>
      <c r="P6" s="1"/>
    </row>
    <row r="7" spans="1:16" ht="13.5" thickBot="1">
      <c r="C7" s="26" t="s">
        <v>46</v>
      </c>
      <c r="D7" s="331" t="s">
        <v>215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87</v>
      </c>
      <c r="E9" s="74" t="s">
        <v>373</v>
      </c>
      <c r="F9" s="514" t="s">
        <v>376</v>
      </c>
      <c r="G9" s="32"/>
      <c r="H9" s="32"/>
      <c r="I9" s="33"/>
      <c r="J9" s="34"/>
      <c r="P9" s="1"/>
    </row>
    <row r="10" spans="1:16">
      <c r="C10" s="128" t="s">
        <v>226</v>
      </c>
      <c r="D10" s="335">
        <v>56133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2006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3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1477.1842105263158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2006</v>
      </c>
      <c r="D17" s="348">
        <v>56133</v>
      </c>
      <c r="E17" s="349">
        <v>752</v>
      </c>
      <c r="F17" s="348">
        <v>55381</v>
      </c>
      <c r="G17" s="349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/>
      </c>
      <c r="C18" s="50">
        <f>IF(D11="","-",+C17+1)</f>
        <v>2007</v>
      </c>
      <c r="D18" s="351">
        <v>55381</v>
      </c>
      <c r="E18" s="352">
        <v>1002</v>
      </c>
      <c r="F18" s="351">
        <v>54379</v>
      </c>
      <c r="G18" s="352">
        <v>0</v>
      </c>
      <c r="H18" s="353">
        <v>0</v>
      </c>
      <c r="I18" s="52">
        <f t="shared" si="0"/>
        <v>0</v>
      </c>
      <c r="J18" s="52"/>
      <c r="K18" s="350">
        <v>0</v>
      </c>
      <c r="L18" s="54">
        <f t="shared" si="1"/>
        <v>0</v>
      </c>
      <c r="M18" s="350">
        <v>0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/>
      </c>
      <c r="C19" s="50">
        <f>IF(D11="","-",+C18+1)</f>
        <v>2008</v>
      </c>
      <c r="D19" s="351">
        <v>54379</v>
      </c>
      <c r="E19" s="352">
        <v>1002</v>
      </c>
      <c r="F19" s="351">
        <v>53377</v>
      </c>
      <c r="G19" s="352">
        <v>0</v>
      </c>
      <c r="H19" s="353">
        <v>0</v>
      </c>
      <c r="I19" s="52">
        <f t="shared" si="0"/>
        <v>0</v>
      </c>
      <c r="J19" s="52"/>
      <c r="K19" s="350">
        <v>0</v>
      </c>
      <c r="L19" s="54">
        <f t="shared" si="1"/>
        <v>0</v>
      </c>
      <c r="M19" s="350">
        <v>0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4">IF(D20=F19,"","IU")</f>
        <v/>
      </c>
      <c r="C20" s="50">
        <f>IF(D11="","-",+C19+1)</f>
        <v>2009</v>
      </c>
      <c r="D20" s="351">
        <v>53377</v>
      </c>
      <c r="E20" s="352">
        <v>1002</v>
      </c>
      <c r="F20" s="351">
        <v>52375</v>
      </c>
      <c r="G20" s="352">
        <v>0</v>
      </c>
      <c r="H20" s="353">
        <v>0</v>
      </c>
      <c r="I20" s="52">
        <f t="shared" si="0"/>
        <v>0</v>
      </c>
      <c r="J20" s="52"/>
      <c r="K20" s="350">
        <v>0</v>
      </c>
      <c r="L20" s="54">
        <f t="shared" si="1"/>
        <v>0</v>
      </c>
      <c r="M20" s="350">
        <v>0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4"/>
        <v/>
      </c>
      <c r="C21" s="50">
        <f>IF(D11="","-",+C20+1)</f>
        <v>2010</v>
      </c>
      <c r="D21" s="351">
        <v>52375</v>
      </c>
      <c r="E21" s="352">
        <v>1002.375</v>
      </c>
      <c r="F21" s="351">
        <v>51372.625</v>
      </c>
      <c r="G21" s="352">
        <v>8415.2657154769768</v>
      </c>
      <c r="H21" s="353">
        <v>8415.2657154769768</v>
      </c>
      <c r="I21" s="52">
        <f t="shared" si="0"/>
        <v>0</v>
      </c>
      <c r="J21" s="52"/>
      <c r="K21" s="350">
        <f t="shared" ref="K21:K26" si="5">G21</f>
        <v>8415.2657154769768</v>
      </c>
      <c r="L21" s="54">
        <f t="shared" si="1"/>
        <v>0</v>
      </c>
      <c r="M21" s="350">
        <f t="shared" ref="M21:M26" si="6">H21</f>
        <v>8415.2657154769768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4"/>
        <v/>
      </c>
      <c r="C22" s="50">
        <f>IF(D11="","-",+C21+1)</f>
        <v>2011</v>
      </c>
      <c r="D22" s="351">
        <v>51372.625</v>
      </c>
      <c r="E22" s="352">
        <v>1100.6470588235295</v>
      </c>
      <c r="F22" s="351">
        <v>50271.977941176468</v>
      </c>
      <c r="G22" s="352">
        <v>8970.3904929935452</v>
      </c>
      <c r="H22" s="353">
        <v>8970.3904929935452</v>
      </c>
      <c r="I22" s="52">
        <f t="shared" si="0"/>
        <v>0</v>
      </c>
      <c r="J22" s="52"/>
      <c r="K22" s="350">
        <f t="shared" si="5"/>
        <v>8970.3904929935452</v>
      </c>
      <c r="L22" s="54">
        <f t="shared" si="1"/>
        <v>0</v>
      </c>
      <c r="M22" s="350">
        <f t="shared" si="6"/>
        <v>8970.3904929935452</v>
      </c>
      <c r="N22" s="54">
        <f t="shared" si="2"/>
        <v>0</v>
      </c>
      <c r="O22" s="54">
        <f t="shared" si="3"/>
        <v>0</v>
      </c>
      <c r="P22" s="1"/>
    </row>
    <row r="23" spans="2:16">
      <c r="B23" s="7" t="str">
        <f t="shared" si="4"/>
        <v/>
      </c>
      <c r="C23" s="50">
        <f>IF(D11="","-",+C22+1)</f>
        <v>2012</v>
      </c>
      <c r="D23" s="351">
        <v>50271.977941176468</v>
      </c>
      <c r="E23" s="352">
        <v>1079.4807692307693</v>
      </c>
      <c r="F23" s="351">
        <v>49192.497171945703</v>
      </c>
      <c r="G23" s="352">
        <v>7927.4076335998161</v>
      </c>
      <c r="H23" s="353">
        <v>7927.4076335998161</v>
      </c>
      <c r="I23" s="52">
        <f t="shared" si="0"/>
        <v>0</v>
      </c>
      <c r="J23" s="52"/>
      <c r="K23" s="350">
        <f t="shared" si="5"/>
        <v>7927.4076335998161</v>
      </c>
      <c r="L23" s="54">
        <f t="shared" si="1"/>
        <v>0</v>
      </c>
      <c r="M23" s="350">
        <f t="shared" si="6"/>
        <v>7927.4076335998161</v>
      </c>
      <c r="N23" s="54">
        <f t="shared" si="2"/>
        <v>0</v>
      </c>
      <c r="O23" s="54">
        <f t="shared" si="3"/>
        <v>0</v>
      </c>
      <c r="P23" s="1"/>
    </row>
    <row r="24" spans="2:16">
      <c r="B24" s="7" t="str">
        <f t="shared" si="4"/>
        <v/>
      </c>
      <c r="C24" s="50">
        <f>IF(D11="","-",+C23+1)</f>
        <v>2013</v>
      </c>
      <c r="D24" s="351">
        <v>49192.497171945703</v>
      </c>
      <c r="E24" s="352">
        <v>1079.4807692307693</v>
      </c>
      <c r="F24" s="351">
        <v>48113.016402714937</v>
      </c>
      <c r="G24" s="352">
        <v>7950.3447729090094</v>
      </c>
      <c r="H24" s="353">
        <v>7950.3447729090094</v>
      </c>
      <c r="I24" s="52">
        <v>0</v>
      </c>
      <c r="J24" s="52"/>
      <c r="K24" s="350">
        <f t="shared" si="5"/>
        <v>7950.3447729090094</v>
      </c>
      <c r="L24" s="54">
        <f t="shared" ref="L24:L29" si="7">IF(K24&lt;&gt;0,+G24-K24,0)</f>
        <v>0</v>
      </c>
      <c r="M24" s="350">
        <f t="shared" si="6"/>
        <v>7950.3447729090094</v>
      </c>
      <c r="N24" s="54">
        <f t="shared" ref="N24:N29" si="8">IF(M24&lt;&gt;0,+H24-M24,0)</f>
        <v>0</v>
      </c>
      <c r="O24" s="54">
        <f t="shared" ref="O24:O29" si="9">+N24-L24</f>
        <v>0</v>
      </c>
      <c r="P24" s="1"/>
    </row>
    <row r="25" spans="2:16">
      <c r="B25" s="7" t="str">
        <f t="shared" si="4"/>
        <v/>
      </c>
      <c r="C25" s="50">
        <f>IF(D11="","-",+C24+1)</f>
        <v>2014</v>
      </c>
      <c r="D25" s="351">
        <v>48113.016402714937</v>
      </c>
      <c r="E25" s="352">
        <v>1079.4807692307693</v>
      </c>
      <c r="F25" s="351">
        <v>47033.535633484171</v>
      </c>
      <c r="G25" s="352">
        <v>7554.0593246775043</v>
      </c>
      <c r="H25" s="353">
        <v>7554.0593246775043</v>
      </c>
      <c r="I25" s="52">
        <v>0</v>
      </c>
      <c r="J25" s="52"/>
      <c r="K25" s="350">
        <f t="shared" si="5"/>
        <v>7554.0593246775043</v>
      </c>
      <c r="L25" s="54">
        <f t="shared" si="7"/>
        <v>0</v>
      </c>
      <c r="M25" s="350">
        <f t="shared" si="6"/>
        <v>7554.0593246775043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4"/>
        <v/>
      </c>
      <c r="C26" s="50">
        <f>IF(D11="","-",+C25+1)</f>
        <v>2015</v>
      </c>
      <c r="D26" s="351">
        <v>47033.535633484171</v>
      </c>
      <c r="E26" s="352">
        <v>1079.4807692307693</v>
      </c>
      <c r="F26" s="351">
        <v>45954.054864253405</v>
      </c>
      <c r="G26" s="352">
        <v>7415.24244849963</v>
      </c>
      <c r="H26" s="353">
        <v>7415.24244849963</v>
      </c>
      <c r="I26" s="52">
        <v>0</v>
      </c>
      <c r="J26" s="52"/>
      <c r="K26" s="350">
        <f t="shared" si="5"/>
        <v>7415.24244849963</v>
      </c>
      <c r="L26" s="54">
        <f t="shared" si="7"/>
        <v>0</v>
      </c>
      <c r="M26" s="350">
        <f t="shared" si="6"/>
        <v>7415.24244849963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4"/>
        <v/>
      </c>
      <c r="C27" s="50">
        <f>IF(D11="","-",+C26+1)</f>
        <v>2016</v>
      </c>
      <c r="D27" s="351">
        <v>45954.054864253405</v>
      </c>
      <c r="E27" s="352">
        <v>1079.4807692307693</v>
      </c>
      <c r="F27" s="351">
        <v>44874.574095022639</v>
      </c>
      <c r="G27" s="352">
        <v>6965.2134846377958</v>
      </c>
      <c r="H27" s="353">
        <v>6965.2134846377958</v>
      </c>
      <c r="I27" s="52">
        <f t="shared" si="0"/>
        <v>0</v>
      </c>
      <c r="J27" s="52"/>
      <c r="K27" s="350">
        <f t="shared" ref="K27:K32" si="10">G27</f>
        <v>6965.2134846377958</v>
      </c>
      <c r="L27" s="54">
        <f t="shared" si="7"/>
        <v>0</v>
      </c>
      <c r="M27" s="350">
        <f t="shared" ref="M27:M32" si="11">H27</f>
        <v>6965.2134846377958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4"/>
        <v/>
      </c>
      <c r="C28" s="50">
        <f>IF(D11="","-",+C27+1)</f>
        <v>2017</v>
      </c>
      <c r="D28" s="351">
        <v>44874.574095022639</v>
      </c>
      <c r="E28" s="352">
        <v>1220.2826086956522</v>
      </c>
      <c r="F28" s="351">
        <v>43654.291486326983</v>
      </c>
      <c r="G28" s="352">
        <v>6775.7563240948048</v>
      </c>
      <c r="H28" s="353">
        <v>6775.7563240948048</v>
      </c>
      <c r="I28" s="52">
        <f t="shared" si="0"/>
        <v>0</v>
      </c>
      <c r="J28" s="52"/>
      <c r="K28" s="350">
        <f t="shared" si="10"/>
        <v>6775.7563240948048</v>
      </c>
      <c r="L28" s="54">
        <f t="shared" si="7"/>
        <v>0</v>
      </c>
      <c r="M28" s="350">
        <f t="shared" si="11"/>
        <v>6775.7563240948048</v>
      </c>
      <c r="N28" s="54">
        <f t="shared" si="8"/>
        <v>0</v>
      </c>
      <c r="O28" s="54">
        <f t="shared" si="9"/>
        <v>0</v>
      </c>
      <c r="P28" s="1"/>
    </row>
    <row r="29" spans="2:16">
      <c r="B29" s="7" t="str">
        <f t="shared" si="4"/>
        <v/>
      </c>
      <c r="C29" s="50">
        <f>IF(D11="","-",+C28+1)</f>
        <v>2018</v>
      </c>
      <c r="D29" s="351">
        <v>43654.291486326983</v>
      </c>
      <c r="E29" s="352">
        <v>1247.4000000000001</v>
      </c>
      <c r="F29" s="351">
        <v>42406.891486326982</v>
      </c>
      <c r="G29" s="352">
        <v>6400.6980544313355</v>
      </c>
      <c r="H29" s="353">
        <v>6400.6980544313355</v>
      </c>
      <c r="I29" s="52">
        <f t="shared" si="0"/>
        <v>0</v>
      </c>
      <c r="J29" s="52"/>
      <c r="K29" s="350">
        <f t="shared" si="10"/>
        <v>6400.6980544313355</v>
      </c>
      <c r="L29" s="54">
        <f t="shared" si="7"/>
        <v>0</v>
      </c>
      <c r="M29" s="350">
        <f t="shared" si="11"/>
        <v>6400.6980544313355</v>
      </c>
      <c r="N29" s="54">
        <f t="shared" si="8"/>
        <v>0</v>
      </c>
      <c r="O29" s="54">
        <f t="shared" si="9"/>
        <v>0</v>
      </c>
      <c r="P29" s="1"/>
    </row>
    <row r="30" spans="2:16">
      <c r="B30" s="7" t="str">
        <f t="shared" si="4"/>
        <v/>
      </c>
      <c r="C30" s="50">
        <f>IF(D11="","-",+C29+1)</f>
        <v>2019</v>
      </c>
      <c r="D30" s="351">
        <v>42406.891486326982</v>
      </c>
      <c r="E30" s="352">
        <v>1403.325</v>
      </c>
      <c r="F30" s="351">
        <v>41003.566486326985</v>
      </c>
      <c r="G30" s="352">
        <v>6059.9903761062678</v>
      </c>
      <c r="H30" s="353">
        <v>6059.9903761062678</v>
      </c>
      <c r="I30" s="52">
        <f t="shared" si="0"/>
        <v>0</v>
      </c>
      <c r="J30" s="52"/>
      <c r="K30" s="350">
        <f t="shared" si="10"/>
        <v>6059.9903761062678</v>
      </c>
      <c r="L30" s="54">
        <f t="shared" ref="L30" si="12">IF(K30&lt;&gt;0,+G30-K30,0)</f>
        <v>0</v>
      </c>
      <c r="M30" s="350">
        <f t="shared" si="11"/>
        <v>6059.9903761062678</v>
      </c>
      <c r="N30" s="54">
        <f t="shared" ref="N30" si="13">IF(M30&lt;&gt;0,+H30-M30,0)</f>
        <v>0</v>
      </c>
      <c r="O30" s="54">
        <f t="shared" ref="O30" si="14">+N30-L30</f>
        <v>0</v>
      </c>
      <c r="P30" s="1"/>
    </row>
    <row r="31" spans="2:16">
      <c r="B31" s="7" t="str">
        <f t="shared" si="4"/>
        <v>IU</v>
      </c>
      <c r="C31" s="50">
        <f>IF(D11="","-",+C30+1)</f>
        <v>2020</v>
      </c>
      <c r="D31" s="351">
        <v>41159.491486326981</v>
      </c>
      <c r="E31" s="352">
        <v>1336.5</v>
      </c>
      <c r="F31" s="351">
        <v>39822.991486326981</v>
      </c>
      <c r="G31" s="352">
        <v>5709.7475035377865</v>
      </c>
      <c r="H31" s="353">
        <v>5709.7475035377865</v>
      </c>
      <c r="I31" s="52">
        <f t="shared" si="0"/>
        <v>0</v>
      </c>
      <c r="J31" s="52"/>
      <c r="K31" s="350">
        <f t="shared" si="10"/>
        <v>5709.7475035377865</v>
      </c>
      <c r="L31" s="54">
        <f t="shared" ref="L31" si="15">IF(K31&lt;&gt;0,+G31-K31,0)</f>
        <v>0</v>
      </c>
      <c r="M31" s="350">
        <f t="shared" si="11"/>
        <v>5709.7475035377865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4"/>
        <v>IU</v>
      </c>
      <c r="C32" s="50">
        <f>IF(D11="","-",+C31+1)</f>
        <v>2021</v>
      </c>
      <c r="D32" s="351">
        <v>39667.06648632697</v>
      </c>
      <c r="E32" s="352">
        <v>1305.4186046511627</v>
      </c>
      <c r="F32" s="351">
        <v>38361.64788167581</v>
      </c>
      <c r="G32" s="352">
        <v>5441.6348487910545</v>
      </c>
      <c r="H32" s="353">
        <v>5441.6348487910545</v>
      </c>
      <c r="I32" s="52">
        <f t="shared" si="0"/>
        <v>0</v>
      </c>
      <c r="J32" s="52"/>
      <c r="K32" s="350">
        <f t="shared" si="10"/>
        <v>5441.6348487910545</v>
      </c>
      <c r="L32" s="54">
        <f t="shared" ref="L32" si="16">IF(K32&lt;&gt;0,+G32-K32,0)</f>
        <v>0</v>
      </c>
      <c r="M32" s="350">
        <f t="shared" si="11"/>
        <v>5441.6348487910545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4"/>
        <v/>
      </c>
      <c r="C33" s="50">
        <f>IF(D11="","-",+C32+1)</f>
        <v>2022</v>
      </c>
      <c r="D33" s="351">
        <v>38361.64788167581</v>
      </c>
      <c r="E33" s="352">
        <v>1336.5</v>
      </c>
      <c r="F33" s="351">
        <v>37025.14788167581</v>
      </c>
      <c r="G33" s="352">
        <v>5328.2273193212004</v>
      </c>
      <c r="H33" s="353">
        <v>5328.2273193212004</v>
      </c>
      <c r="I33" s="52">
        <f t="shared" si="0"/>
        <v>0</v>
      </c>
      <c r="J33" s="52"/>
      <c r="K33" s="350">
        <f t="shared" ref="K33" si="17">G33</f>
        <v>5328.2273193212004</v>
      </c>
      <c r="L33" s="54">
        <f t="shared" ref="L33" si="18">IF(K33&lt;&gt;0,+G33-K33,0)</f>
        <v>0</v>
      </c>
      <c r="M33" s="350">
        <f t="shared" ref="M33" si="19">H33</f>
        <v>5328.2273193212004</v>
      </c>
      <c r="N33" s="54">
        <f t="shared" si="2"/>
        <v>0</v>
      </c>
      <c r="O33" s="54">
        <f t="shared" si="3"/>
        <v>0</v>
      </c>
      <c r="P33" s="1"/>
    </row>
    <row r="34" spans="2:16">
      <c r="B34" s="7" t="str">
        <f t="shared" si="4"/>
        <v/>
      </c>
      <c r="C34" s="50">
        <f>IF(D11="","-",+C33+1)</f>
        <v>2023</v>
      </c>
      <c r="D34" s="351">
        <v>37025.14788167581</v>
      </c>
      <c r="E34" s="352">
        <v>1439.3076923076924</v>
      </c>
      <c r="F34" s="351">
        <v>35585.840189368115</v>
      </c>
      <c r="G34" s="352">
        <v>5686.7962355511117</v>
      </c>
      <c r="H34" s="353">
        <v>5686.7962355511117</v>
      </c>
      <c r="I34" s="52">
        <f t="shared" si="0"/>
        <v>0</v>
      </c>
      <c r="J34" s="52"/>
      <c r="K34" s="350">
        <f t="shared" ref="K34" si="20">G34</f>
        <v>5686.7962355511117</v>
      </c>
      <c r="L34" s="54">
        <f t="shared" ref="L34" si="21">IF(K34&lt;&gt;0,+G34-K34,0)</f>
        <v>0</v>
      </c>
      <c r="M34" s="350">
        <f t="shared" ref="M34" si="22">H34</f>
        <v>5686.7962355511117</v>
      </c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4"/>
        <v/>
      </c>
      <c r="C35" s="50">
        <f>IF(D11="","-",+C34+1)</f>
        <v>2024</v>
      </c>
      <c r="D35" s="351">
        <v>35585.840189368115</v>
      </c>
      <c r="E35" s="352">
        <v>1477.1842105263158</v>
      </c>
      <c r="F35" s="351">
        <v>34108.655978841802</v>
      </c>
      <c r="G35" s="352">
        <v>5356.7091396474525</v>
      </c>
      <c r="H35" s="353">
        <v>5356.7091396474525</v>
      </c>
      <c r="I35" s="52">
        <f t="shared" si="0"/>
        <v>0</v>
      </c>
      <c r="J35" s="52"/>
      <c r="K35" s="350">
        <f t="shared" ref="K35" si="23">G35</f>
        <v>5356.7091396474525</v>
      </c>
      <c r="L35" s="54">
        <f t="shared" ref="L35" si="24">IF(K35&lt;&gt;0,+G35-K35,0)</f>
        <v>0</v>
      </c>
      <c r="M35" s="350">
        <f t="shared" ref="M35" si="25">H35</f>
        <v>5356.7091396474525</v>
      </c>
      <c r="N35" s="54">
        <f t="shared" ref="N35" si="26">IF(M35&lt;&gt;0,+H35-M35,0)</f>
        <v>0</v>
      </c>
      <c r="O35" s="54">
        <f t="shared" ref="O35" si="27">+N35-L35</f>
        <v>0</v>
      </c>
      <c r="P35" s="1"/>
    </row>
    <row r="36" spans="2:16">
      <c r="B36" s="7" t="str">
        <f t="shared" si="4"/>
        <v/>
      </c>
      <c r="C36" s="50">
        <f>IF(D11="","-",+C35+1)</f>
        <v>2025</v>
      </c>
      <c r="D36" s="351">
        <v>34108.655978841802</v>
      </c>
      <c r="E36" s="352">
        <v>1477.1842105263158</v>
      </c>
      <c r="F36" s="351">
        <v>32631.471768315485</v>
      </c>
      <c r="G36" s="352">
        <v>5184.3313183350274</v>
      </c>
      <c r="H36" s="353">
        <v>5184.3313183350274</v>
      </c>
      <c r="I36" s="52">
        <f t="shared" si="0"/>
        <v>0</v>
      </c>
      <c r="J36" s="52"/>
      <c r="K36" s="350">
        <f t="shared" ref="K36" si="28">G36</f>
        <v>5184.3313183350274</v>
      </c>
      <c r="L36" s="54">
        <f t="shared" ref="L36" si="29">IF(K36&lt;&gt;0,+G36-K36,0)</f>
        <v>0</v>
      </c>
      <c r="M36" s="350">
        <f t="shared" ref="M36" si="30">H36</f>
        <v>5184.3313183350274</v>
      </c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4"/>
        <v/>
      </c>
      <c r="C37" s="50">
        <f>IF(D11="","-",+C36+1)</f>
        <v>2026</v>
      </c>
      <c r="D37" s="55">
        <f>IF(F36+SUM(E$17:E36)=D$10,F36,D$10-SUM(E$17:E36))</f>
        <v>32631.471768315485</v>
      </c>
      <c r="E37" s="354">
        <f>IF(+I14&lt;F36,I14,D37)</f>
        <v>1477.1842105263158</v>
      </c>
      <c r="F37" s="55">
        <f t="shared" ref="F37:F48" si="31">+D37-E37</f>
        <v>31154.287557789168</v>
      </c>
      <c r="G37" s="355">
        <f t="shared" ref="G37:G72" si="32">(D37+F37)/2*I$12+E37</f>
        <v>5100.4224586207911</v>
      </c>
      <c r="H37" s="336">
        <f t="shared" ref="H37:H72" si="33">+(D37+F37)/2*I$13+E37</f>
        <v>5100.4224586207911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>
      <c r="B38" s="393" t="str">
        <f t="shared" si="4"/>
        <v/>
      </c>
      <c r="C38" s="50">
        <f>IF(D11="","-",+C37+1)</f>
        <v>2027</v>
      </c>
      <c r="D38" s="55">
        <f>IF(F37+SUM(E$17:E37)=D$10,F37,D$10-SUM(E$17:E37))</f>
        <v>31154.287557789168</v>
      </c>
      <c r="E38" s="354">
        <f>IF(+I14&lt;F37,I14,D38)</f>
        <v>1477.1842105263158</v>
      </c>
      <c r="F38" s="55">
        <f t="shared" si="31"/>
        <v>29677.103347262851</v>
      </c>
      <c r="G38" s="355">
        <f t="shared" si="32"/>
        <v>4932.6047391923166</v>
      </c>
      <c r="H38" s="336">
        <f t="shared" si="33"/>
        <v>4932.6047391923166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4"/>
        <v/>
      </c>
      <c r="C39" s="50">
        <f>IF(D11="","-",+C38+1)</f>
        <v>2028</v>
      </c>
      <c r="D39" s="55">
        <f>IF(F38+SUM(E$17:E38)=D$10,F38,D$10-SUM(E$17:E38))</f>
        <v>29677.103347262851</v>
      </c>
      <c r="E39" s="354">
        <f>IF(+I14&lt;F38,I14,D39)</f>
        <v>1477.1842105263158</v>
      </c>
      <c r="F39" s="55">
        <f t="shared" si="31"/>
        <v>28199.919136736535</v>
      </c>
      <c r="G39" s="355">
        <f t="shared" si="32"/>
        <v>4764.7870197638431</v>
      </c>
      <c r="H39" s="336">
        <f t="shared" si="33"/>
        <v>4764.7870197638431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4"/>
        <v/>
      </c>
      <c r="C40" s="50">
        <f>IF(D11="","-",+C39+1)</f>
        <v>2029</v>
      </c>
      <c r="D40" s="55">
        <f>IF(F39+SUM(E$17:E39)=D$10,F39,D$10-SUM(E$17:E39))</f>
        <v>28199.919136736535</v>
      </c>
      <c r="E40" s="354">
        <f>IF(+I14&lt;F39,I14,D40)</f>
        <v>1477.1842105263158</v>
      </c>
      <c r="F40" s="55">
        <f t="shared" si="31"/>
        <v>26722.734926210218</v>
      </c>
      <c r="G40" s="355">
        <f t="shared" si="32"/>
        <v>4596.9693003353686</v>
      </c>
      <c r="H40" s="336">
        <f t="shared" si="33"/>
        <v>4596.9693003353686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4"/>
        <v/>
      </c>
      <c r="C41" s="50">
        <f>IF(D11="","-",+C40+1)</f>
        <v>2030</v>
      </c>
      <c r="D41" s="55">
        <f>IF(F40+SUM(E$17:E40)=D$10,F40,D$10-SUM(E$17:E40))</f>
        <v>26722.734926210218</v>
      </c>
      <c r="E41" s="354">
        <f>IF(+I14&lt;F40,I14,D41)</f>
        <v>1477.1842105263158</v>
      </c>
      <c r="F41" s="55">
        <f t="shared" si="31"/>
        <v>25245.550715683901</v>
      </c>
      <c r="G41" s="355">
        <f t="shared" si="32"/>
        <v>4429.1515809068951</v>
      </c>
      <c r="H41" s="336">
        <f t="shared" si="33"/>
        <v>4429.1515809068951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4"/>
        <v/>
      </c>
      <c r="C42" s="50">
        <f>IF(D11="","-",+C41+1)</f>
        <v>2031</v>
      </c>
      <c r="D42" s="55">
        <f>IF(F41+SUM(E$17:E41)=D$10,F41,D$10-SUM(E$17:E41))</f>
        <v>25245.550715683901</v>
      </c>
      <c r="E42" s="354">
        <f>IF(+I14&lt;F41,I14,D42)</f>
        <v>1477.1842105263158</v>
      </c>
      <c r="F42" s="55">
        <f t="shared" si="31"/>
        <v>23768.366505157584</v>
      </c>
      <c r="G42" s="355">
        <f t="shared" si="32"/>
        <v>4261.3338614784216</v>
      </c>
      <c r="H42" s="336">
        <f t="shared" si="33"/>
        <v>4261.3338614784216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4"/>
        <v/>
      </c>
      <c r="C43" s="50">
        <f>IF(D11="","-",+C42+1)</f>
        <v>2032</v>
      </c>
      <c r="D43" s="55">
        <f>IF(F42+SUM(E$17:E42)=D$10,F42,D$10-SUM(E$17:E42))</f>
        <v>23768.366505157584</v>
      </c>
      <c r="E43" s="354">
        <f>IF(+I14&lt;F42,I14,D43)</f>
        <v>1477.1842105263158</v>
      </c>
      <c r="F43" s="55">
        <f t="shared" si="31"/>
        <v>22291.182294631268</v>
      </c>
      <c r="G43" s="355">
        <f t="shared" si="32"/>
        <v>4093.516142049948</v>
      </c>
      <c r="H43" s="336">
        <f t="shared" si="33"/>
        <v>4093.516142049948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4"/>
        <v/>
      </c>
      <c r="C44" s="50">
        <f>IF(D11="","-",+C43+1)</f>
        <v>2033</v>
      </c>
      <c r="D44" s="55">
        <f>IF(F43+SUM(E$17:E43)=D$10,F43,D$10-SUM(E$17:E43))</f>
        <v>22291.182294631268</v>
      </c>
      <c r="E44" s="354">
        <f>IF(+I14&lt;F43,I14,D44)</f>
        <v>1477.1842105263158</v>
      </c>
      <c r="F44" s="55">
        <f t="shared" si="31"/>
        <v>20813.998084104951</v>
      </c>
      <c r="G44" s="355">
        <f t="shared" si="32"/>
        <v>3925.698422621474</v>
      </c>
      <c r="H44" s="336">
        <f t="shared" si="33"/>
        <v>3925.698422621474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4"/>
        <v/>
      </c>
      <c r="C45" s="50">
        <f>IF(D11="","-",+C44+1)</f>
        <v>2034</v>
      </c>
      <c r="D45" s="55">
        <f>IF(F44+SUM(E$17:E44)=D$10,F44,D$10-SUM(E$17:E44))</f>
        <v>20813.998084104951</v>
      </c>
      <c r="E45" s="354">
        <f>IF(+I14&lt;F44,I14,D45)</f>
        <v>1477.1842105263158</v>
      </c>
      <c r="F45" s="55">
        <f t="shared" si="31"/>
        <v>19336.813873578634</v>
      </c>
      <c r="G45" s="355">
        <f t="shared" si="32"/>
        <v>3757.8807031930005</v>
      </c>
      <c r="H45" s="336">
        <f t="shared" si="33"/>
        <v>3757.8807031930005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4"/>
        <v/>
      </c>
      <c r="C46" s="50">
        <f>IF(D11="","-",+C45+1)</f>
        <v>2035</v>
      </c>
      <c r="D46" s="55">
        <f>IF(F45+SUM(E$17:E45)=D$10,F45,D$10-SUM(E$17:E45))</f>
        <v>19336.813873578634</v>
      </c>
      <c r="E46" s="354">
        <f>IF(+I14&lt;F45,I14,D46)</f>
        <v>1477.1842105263158</v>
      </c>
      <c r="F46" s="55">
        <f t="shared" si="31"/>
        <v>17859.629663052317</v>
      </c>
      <c r="G46" s="355">
        <f t="shared" si="32"/>
        <v>3590.0629837645265</v>
      </c>
      <c r="H46" s="336">
        <f t="shared" si="33"/>
        <v>3590.0629837645265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4"/>
        <v/>
      </c>
      <c r="C47" s="50">
        <f>IF(D11="","-",+C46+1)</f>
        <v>2036</v>
      </c>
      <c r="D47" s="55">
        <f>IF(F46+SUM(E$17:E46)=D$10,F46,D$10-SUM(E$17:E46))</f>
        <v>17859.629663052317</v>
      </c>
      <c r="E47" s="354">
        <f>IF(+I14&lt;F46,I14,D47)</f>
        <v>1477.1842105263158</v>
      </c>
      <c r="F47" s="55">
        <f t="shared" si="31"/>
        <v>16382.445452526001</v>
      </c>
      <c r="G47" s="355">
        <f t="shared" si="32"/>
        <v>3422.245264336053</v>
      </c>
      <c r="H47" s="336">
        <f t="shared" si="33"/>
        <v>3422.245264336053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4"/>
        <v/>
      </c>
      <c r="C48" s="50">
        <f>IF(D11="","-",+C47+1)</f>
        <v>2037</v>
      </c>
      <c r="D48" s="55">
        <f>IF(F47+SUM(E$17:E47)=D$10,F47,D$10-SUM(E$17:E47))</f>
        <v>16382.445452526001</v>
      </c>
      <c r="E48" s="354">
        <f>IF(+I14&lt;F47,I14,D48)</f>
        <v>1477.1842105263158</v>
      </c>
      <c r="F48" s="55">
        <f t="shared" si="31"/>
        <v>14905.261241999684</v>
      </c>
      <c r="G48" s="355">
        <f t="shared" si="32"/>
        <v>3254.4275449075794</v>
      </c>
      <c r="H48" s="336">
        <f t="shared" si="33"/>
        <v>3254.4275449075794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>
      <c r="B49" s="7" t="str">
        <f t="shared" si="4"/>
        <v/>
      </c>
      <c r="C49" s="50">
        <f>IF(D11="","-",+C48+1)</f>
        <v>2038</v>
      </c>
      <c r="D49" s="55">
        <f>IF(F48+SUM(E$17:E48)=D$10,F48,D$10-SUM(E$17:E48))</f>
        <v>14905.261241999684</v>
      </c>
      <c r="E49" s="354">
        <f>IF(+I14&lt;F48,I14,D49)</f>
        <v>1477.1842105263158</v>
      </c>
      <c r="F49" s="55">
        <f t="shared" ref="F49:F72" si="34">+D49-E49</f>
        <v>13428.077031473367</v>
      </c>
      <c r="G49" s="355">
        <f t="shared" si="32"/>
        <v>3086.6098254791054</v>
      </c>
      <c r="H49" s="336">
        <f t="shared" si="33"/>
        <v>3086.6098254791054</v>
      </c>
      <c r="I49" s="52">
        <f t="shared" ref="I49:I72" si="35">H49-G49</f>
        <v>0</v>
      </c>
      <c r="J49" s="52"/>
      <c r="K49" s="115"/>
      <c r="L49" s="54">
        <f t="shared" ref="L49:L72" si="36">IF(K49&lt;&gt;0,+G49-K49,0)</f>
        <v>0</v>
      </c>
      <c r="M49" s="115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6">
      <c r="B50" s="7" t="str">
        <f t="shared" si="4"/>
        <v/>
      </c>
      <c r="C50" s="50">
        <f>IF(D11="","-",+C49+1)</f>
        <v>2039</v>
      </c>
      <c r="D50" s="55">
        <f>IF(F49+SUM(E$17:E49)=D$10,F49,D$10-SUM(E$17:E49))</f>
        <v>13428.077031473367</v>
      </c>
      <c r="E50" s="354">
        <f>IF(+I14&lt;F49,I14,D50)</f>
        <v>1477.1842105263158</v>
      </c>
      <c r="F50" s="55">
        <f t="shared" si="34"/>
        <v>11950.89282094705</v>
      </c>
      <c r="G50" s="355">
        <f t="shared" si="32"/>
        <v>2918.7921060506314</v>
      </c>
      <c r="H50" s="336">
        <f t="shared" si="33"/>
        <v>2918.7921060506314</v>
      </c>
      <c r="I50" s="52">
        <f t="shared" si="35"/>
        <v>0</v>
      </c>
      <c r="J50" s="52"/>
      <c r="K50" s="115"/>
      <c r="L50" s="54">
        <f t="shared" si="36"/>
        <v>0</v>
      </c>
      <c r="M50" s="115"/>
      <c r="N50" s="54">
        <f t="shared" si="37"/>
        <v>0</v>
      </c>
      <c r="O50" s="54">
        <f t="shared" si="38"/>
        <v>0</v>
      </c>
      <c r="P50" s="1"/>
    </row>
    <row r="51" spans="2:16">
      <c r="B51" s="7" t="str">
        <f t="shared" si="4"/>
        <v/>
      </c>
      <c r="C51" s="50">
        <f>IF(D11="","-",+C50+1)</f>
        <v>2040</v>
      </c>
      <c r="D51" s="55">
        <f>IF(F50+SUM(E$17:E50)=D$10,F50,D$10-SUM(E$17:E50))</f>
        <v>11950.89282094705</v>
      </c>
      <c r="E51" s="354">
        <f>IF(+I14&lt;F50,I14,D51)</f>
        <v>1477.1842105263158</v>
      </c>
      <c r="F51" s="55">
        <f t="shared" si="34"/>
        <v>10473.708610420734</v>
      </c>
      <c r="G51" s="355">
        <f t="shared" si="32"/>
        <v>2750.9743866221579</v>
      </c>
      <c r="H51" s="336">
        <f t="shared" si="33"/>
        <v>2750.9743866221579</v>
      </c>
      <c r="I51" s="52">
        <f t="shared" si="35"/>
        <v>0</v>
      </c>
      <c r="J51" s="52"/>
      <c r="K51" s="115"/>
      <c r="L51" s="54">
        <f t="shared" si="36"/>
        <v>0</v>
      </c>
      <c r="M51" s="115"/>
      <c r="N51" s="54">
        <f t="shared" si="37"/>
        <v>0</v>
      </c>
      <c r="O51" s="54">
        <f t="shared" si="38"/>
        <v>0</v>
      </c>
      <c r="P51" s="1"/>
    </row>
    <row r="52" spans="2:16">
      <c r="B52" s="7" t="str">
        <f t="shared" si="4"/>
        <v/>
      </c>
      <c r="C52" s="50">
        <f>IF(D11="","-",+C51+1)</f>
        <v>2041</v>
      </c>
      <c r="D52" s="55">
        <f>IF(F51+SUM(E$17:E51)=D$10,F51,D$10-SUM(E$17:E51))</f>
        <v>10473.708610420734</v>
      </c>
      <c r="E52" s="354">
        <f>IF(+I14&lt;F51,I14,D52)</f>
        <v>1477.1842105263158</v>
      </c>
      <c r="F52" s="55">
        <f t="shared" si="34"/>
        <v>8996.524399894417</v>
      </c>
      <c r="G52" s="355">
        <f t="shared" si="32"/>
        <v>2583.1566671936844</v>
      </c>
      <c r="H52" s="336">
        <f t="shared" si="33"/>
        <v>2583.1566671936844</v>
      </c>
      <c r="I52" s="52">
        <f t="shared" si="35"/>
        <v>0</v>
      </c>
      <c r="J52" s="52"/>
      <c r="K52" s="115"/>
      <c r="L52" s="54">
        <f t="shared" si="36"/>
        <v>0</v>
      </c>
      <c r="M52" s="115"/>
      <c r="N52" s="54">
        <f t="shared" si="37"/>
        <v>0</v>
      </c>
      <c r="O52" s="54">
        <f t="shared" si="38"/>
        <v>0</v>
      </c>
      <c r="P52" s="1"/>
    </row>
    <row r="53" spans="2:16">
      <c r="B53" s="7" t="str">
        <f t="shared" si="4"/>
        <v/>
      </c>
      <c r="C53" s="50">
        <f>IF(D11="","-",+C52+1)</f>
        <v>2042</v>
      </c>
      <c r="D53" s="55">
        <f>IF(F52+SUM(E$17:E52)=D$10,F52,D$10-SUM(E$17:E52))</f>
        <v>8996.524399894417</v>
      </c>
      <c r="E53" s="354">
        <f>IF(+I14&lt;F52,I14,D53)</f>
        <v>1477.1842105263158</v>
      </c>
      <c r="F53" s="55">
        <f t="shared" si="34"/>
        <v>7519.3401893681012</v>
      </c>
      <c r="G53" s="355">
        <f t="shared" si="32"/>
        <v>2415.3389477652104</v>
      </c>
      <c r="H53" s="336">
        <f t="shared" si="33"/>
        <v>2415.3389477652104</v>
      </c>
      <c r="I53" s="52">
        <f t="shared" si="35"/>
        <v>0</v>
      </c>
      <c r="J53" s="52"/>
      <c r="K53" s="115"/>
      <c r="L53" s="54">
        <f t="shared" si="36"/>
        <v>0</v>
      </c>
      <c r="M53" s="115"/>
      <c r="N53" s="54">
        <f t="shared" si="37"/>
        <v>0</v>
      </c>
      <c r="O53" s="54">
        <f t="shared" si="38"/>
        <v>0</v>
      </c>
      <c r="P53" s="1"/>
    </row>
    <row r="54" spans="2:16">
      <c r="B54" s="7" t="str">
        <f t="shared" si="4"/>
        <v/>
      </c>
      <c r="C54" s="50">
        <f>IF(D11="","-",+C53+1)</f>
        <v>2043</v>
      </c>
      <c r="D54" s="55">
        <f>IF(F53+SUM(E$17:E53)=D$10,F53,D$10-SUM(E$17:E53))</f>
        <v>7519.3401893681012</v>
      </c>
      <c r="E54" s="354">
        <f>IF(+I14&lt;F53,I14,D54)</f>
        <v>1477.1842105263158</v>
      </c>
      <c r="F54" s="55">
        <f t="shared" si="34"/>
        <v>6042.1559788417853</v>
      </c>
      <c r="G54" s="355">
        <f t="shared" si="32"/>
        <v>2247.5212283367373</v>
      </c>
      <c r="H54" s="336">
        <f t="shared" si="33"/>
        <v>2247.5212283367373</v>
      </c>
      <c r="I54" s="52">
        <f t="shared" si="35"/>
        <v>0</v>
      </c>
      <c r="J54" s="52"/>
      <c r="K54" s="115"/>
      <c r="L54" s="54">
        <f t="shared" si="36"/>
        <v>0</v>
      </c>
      <c r="M54" s="115"/>
      <c r="N54" s="54">
        <f t="shared" si="37"/>
        <v>0</v>
      </c>
      <c r="O54" s="54">
        <f t="shared" si="38"/>
        <v>0</v>
      </c>
      <c r="P54" s="1"/>
    </row>
    <row r="55" spans="2:16">
      <c r="B55" s="7" t="str">
        <f t="shared" si="4"/>
        <v/>
      </c>
      <c r="C55" s="50">
        <f>IF(D11="","-",+C54+1)</f>
        <v>2044</v>
      </c>
      <c r="D55" s="55">
        <f>IF(F54+SUM(E$17:E54)=D$10,F54,D$10-SUM(E$17:E54))</f>
        <v>6042.1559788417853</v>
      </c>
      <c r="E55" s="354">
        <f>IF(+I14&lt;F54,I14,D55)</f>
        <v>1477.1842105263158</v>
      </c>
      <c r="F55" s="55">
        <f t="shared" si="34"/>
        <v>4564.9717683154695</v>
      </c>
      <c r="G55" s="355">
        <f t="shared" si="32"/>
        <v>2079.7035089082633</v>
      </c>
      <c r="H55" s="336">
        <f t="shared" si="33"/>
        <v>2079.7035089082633</v>
      </c>
      <c r="I55" s="52">
        <f t="shared" si="35"/>
        <v>0</v>
      </c>
      <c r="J55" s="52"/>
      <c r="K55" s="115"/>
      <c r="L55" s="54">
        <f t="shared" si="36"/>
        <v>0</v>
      </c>
      <c r="M55" s="115"/>
      <c r="N55" s="54">
        <f t="shared" si="37"/>
        <v>0</v>
      </c>
      <c r="O55" s="54">
        <f t="shared" si="38"/>
        <v>0</v>
      </c>
      <c r="P55" s="1"/>
    </row>
    <row r="56" spans="2:16">
      <c r="B56" s="7" t="str">
        <f t="shared" si="4"/>
        <v/>
      </c>
      <c r="C56" s="50">
        <f>IF(D11="","-",+C55+1)</f>
        <v>2045</v>
      </c>
      <c r="D56" s="55">
        <f>IF(F55+SUM(E$17:E55)=D$10,F55,D$10-SUM(E$17:E55))</f>
        <v>4564.9717683154695</v>
      </c>
      <c r="E56" s="354">
        <f>IF(+I14&lt;F55,I14,D56)</f>
        <v>1477.1842105263158</v>
      </c>
      <c r="F56" s="55">
        <f t="shared" si="34"/>
        <v>3087.7875577891537</v>
      </c>
      <c r="G56" s="355">
        <f t="shared" si="32"/>
        <v>1911.8857894797898</v>
      </c>
      <c r="H56" s="336">
        <f t="shared" si="33"/>
        <v>1911.8857894797898</v>
      </c>
      <c r="I56" s="52">
        <f t="shared" si="35"/>
        <v>0</v>
      </c>
      <c r="J56" s="52"/>
      <c r="K56" s="115"/>
      <c r="L56" s="54">
        <f t="shared" si="36"/>
        <v>0</v>
      </c>
      <c r="M56" s="115"/>
      <c r="N56" s="54">
        <f t="shared" si="37"/>
        <v>0</v>
      </c>
      <c r="O56" s="54">
        <f t="shared" si="38"/>
        <v>0</v>
      </c>
      <c r="P56" s="1"/>
    </row>
    <row r="57" spans="2:16">
      <c r="B57" s="7" t="str">
        <f t="shared" si="4"/>
        <v/>
      </c>
      <c r="C57" s="50">
        <f>IF(D11="","-",+C56+1)</f>
        <v>2046</v>
      </c>
      <c r="D57" s="55">
        <f>IF(F56+SUM(E$17:E56)=D$10,F56,D$10-SUM(E$17:E56))</f>
        <v>3087.7875577891537</v>
      </c>
      <c r="E57" s="354">
        <f>IF(+I14&lt;F56,I14,D57)</f>
        <v>1477.1842105263158</v>
      </c>
      <c r="F57" s="55">
        <f t="shared" si="34"/>
        <v>1610.6033472628378</v>
      </c>
      <c r="G57" s="355">
        <f t="shared" si="32"/>
        <v>1744.0680700513162</v>
      </c>
      <c r="H57" s="336">
        <f t="shared" si="33"/>
        <v>1744.0680700513162</v>
      </c>
      <c r="I57" s="52">
        <f t="shared" si="35"/>
        <v>0</v>
      </c>
      <c r="J57" s="52"/>
      <c r="K57" s="115"/>
      <c r="L57" s="54">
        <f t="shared" si="36"/>
        <v>0</v>
      </c>
      <c r="M57" s="115"/>
      <c r="N57" s="54">
        <f t="shared" si="37"/>
        <v>0</v>
      </c>
      <c r="O57" s="54">
        <f t="shared" si="38"/>
        <v>0</v>
      </c>
      <c r="P57" s="1"/>
    </row>
    <row r="58" spans="2:16">
      <c r="B58" s="7" t="str">
        <f t="shared" si="4"/>
        <v/>
      </c>
      <c r="C58" s="50">
        <f>IF(D11="","-",+C57+1)</f>
        <v>2047</v>
      </c>
      <c r="D58" s="55">
        <f>IF(F57+SUM(E$17:E57)=D$10,F57,D$10-SUM(E$17:E57))</f>
        <v>1610.6033472628378</v>
      </c>
      <c r="E58" s="354">
        <f>IF(+I14&lt;F57,I14,D58)</f>
        <v>1477.1842105263158</v>
      </c>
      <c r="F58" s="55">
        <f t="shared" si="34"/>
        <v>133.41913673652198</v>
      </c>
      <c r="G58" s="355">
        <f t="shared" si="32"/>
        <v>1576.2503506228425</v>
      </c>
      <c r="H58" s="336">
        <f t="shared" si="33"/>
        <v>1576.2503506228425</v>
      </c>
      <c r="I58" s="52">
        <f t="shared" si="35"/>
        <v>0</v>
      </c>
      <c r="J58" s="52"/>
      <c r="K58" s="115"/>
      <c r="L58" s="54">
        <f t="shared" si="36"/>
        <v>0</v>
      </c>
      <c r="M58" s="115"/>
      <c r="N58" s="54">
        <f t="shared" si="37"/>
        <v>0</v>
      </c>
      <c r="O58" s="54">
        <f t="shared" si="38"/>
        <v>0</v>
      </c>
      <c r="P58" s="1"/>
    </row>
    <row r="59" spans="2:16">
      <c r="B59" s="7" t="str">
        <f t="shared" si="4"/>
        <v>IU</v>
      </c>
      <c r="C59" s="50">
        <f>IF(D11="","-",+C58+1)</f>
        <v>2048</v>
      </c>
      <c r="D59" s="55">
        <f>IF(F58+SUM(E$17:E58)=D$10,F58,D$10-SUM(E$17:E58))</f>
        <v>133.41913673657109</v>
      </c>
      <c r="E59" s="354">
        <f>IF(+I14&lt;F58,I14,D59)</f>
        <v>133.41913673657109</v>
      </c>
      <c r="F59" s="55">
        <f t="shared" si="34"/>
        <v>0</v>
      </c>
      <c r="G59" s="355">
        <f t="shared" si="32"/>
        <v>140.9977769277188</v>
      </c>
      <c r="H59" s="336">
        <f t="shared" si="33"/>
        <v>140.9977769277188</v>
      </c>
      <c r="I59" s="52">
        <f t="shared" si="35"/>
        <v>0</v>
      </c>
      <c r="J59" s="52"/>
      <c r="K59" s="115"/>
      <c r="L59" s="54">
        <f t="shared" si="36"/>
        <v>0</v>
      </c>
      <c r="M59" s="115"/>
      <c r="N59" s="54">
        <f t="shared" si="37"/>
        <v>0</v>
      </c>
      <c r="O59" s="54">
        <f t="shared" si="38"/>
        <v>0</v>
      </c>
      <c r="P59" s="1"/>
    </row>
    <row r="60" spans="2:16">
      <c r="B60" s="7" t="str">
        <f t="shared" si="4"/>
        <v/>
      </c>
      <c r="C60" s="50">
        <f>IF(D11="","-",+C59+1)</f>
        <v>2049</v>
      </c>
      <c r="D60" s="55">
        <f>IF(F59+SUM(E$17:E59)=D$10,F59,D$10-SUM(E$17:E59))</f>
        <v>0</v>
      </c>
      <c r="E60" s="354">
        <f>IF(+I14&lt;F59,I14,D60)</f>
        <v>0</v>
      </c>
      <c r="F60" s="55">
        <f t="shared" si="34"/>
        <v>0</v>
      </c>
      <c r="G60" s="355">
        <f t="shared" si="32"/>
        <v>0</v>
      </c>
      <c r="H60" s="336">
        <f t="shared" si="33"/>
        <v>0</v>
      </c>
      <c r="I60" s="52">
        <f t="shared" si="35"/>
        <v>0</v>
      </c>
      <c r="J60" s="52"/>
      <c r="K60" s="115"/>
      <c r="L60" s="54">
        <f t="shared" si="36"/>
        <v>0</v>
      </c>
      <c r="M60" s="115"/>
      <c r="N60" s="54">
        <f t="shared" si="37"/>
        <v>0</v>
      </c>
      <c r="O60" s="54">
        <f t="shared" si="38"/>
        <v>0</v>
      </c>
      <c r="P60" s="1"/>
    </row>
    <row r="61" spans="2:16">
      <c r="B61" s="7" t="str">
        <f t="shared" si="4"/>
        <v/>
      </c>
      <c r="C61" s="50">
        <f>IF(D11="","-",+C60+1)</f>
        <v>2050</v>
      </c>
      <c r="D61" s="55">
        <f>IF(F60+SUM(E$17:E60)=D$10,F60,D$10-SUM(E$17:E60))</f>
        <v>0</v>
      </c>
      <c r="E61" s="354">
        <f>IF(+I14&lt;F60,I14,D61)</f>
        <v>0</v>
      </c>
      <c r="F61" s="55">
        <f t="shared" si="34"/>
        <v>0</v>
      </c>
      <c r="G61" s="355">
        <f t="shared" si="32"/>
        <v>0</v>
      </c>
      <c r="H61" s="336">
        <f t="shared" si="33"/>
        <v>0</v>
      </c>
      <c r="I61" s="52">
        <f t="shared" si="35"/>
        <v>0</v>
      </c>
      <c r="J61" s="52"/>
      <c r="K61" s="115"/>
      <c r="L61" s="54">
        <f t="shared" si="36"/>
        <v>0</v>
      </c>
      <c r="M61" s="115"/>
      <c r="N61" s="54">
        <f t="shared" si="37"/>
        <v>0</v>
      </c>
      <c r="O61" s="54">
        <f t="shared" si="38"/>
        <v>0</v>
      </c>
      <c r="P61" s="1"/>
    </row>
    <row r="62" spans="2:16">
      <c r="B62" s="7" t="str">
        <f t="shared" si="4"/>
        <v/>
      </c>
      <c r="C62" s="50">
        <f>IF(D11="","-",+C61+1)</f>
        <v>2051</v>
      </c>
      <c r="D62" s="55">
        <f>IF(F61+SUM(E$17:E61)=D$10,F61,D$10-SUM(E$17:E61))</f>
        <v>0</v>
      </c>
      <c r="E62" s="354">
        <f>IF(+I14&lt;F61,I14,D62)</f>
        <v>0</v>
      </c>
      <c r="F62" s="55">
        <f t="shared" si="34"/>
        <v>0</v>
      </c>
      <c r="G62" s="355">
        <f t="shared" si="32"/>
        <v>0</v>
      </c>
      <c r="H62" s="336">
        <f t="shared" si="33"/>
        <v>0</v>
      </c>
      <c r="I62" s="52">
        <f t="shared" si="35"/>
        <v>0</v>
      </c>
      <c r="J62" s="52"/>
      <c r="K62" s="115"/>
      <c r="L62" s="54">
        <f t="shared" si="36"/>
        <v>0</v>
      </c>
      <c r="M62" s="115"/>
      <c r="N62" s="54">
        <f t="shared" si="37"/>
        <v>0</v>
      </c>
      <c r="O62" s="54">
        <f t="shared" si="38"/>
        <v>0</v>
      </c>
      <c r="P62" s="1"/>
    </row>
    <row r="63" spans="2:16">
      <c r="B63" s="393" t="str">
        <f t="shared" si="4"/>
        <v/>
      </c>
      <c r="C63" s="50">
        <f>IF(D11="","-",+C62+1)</f>
        <v>2052</v>
      </c>
      <c r="D63" s="55">
        <f>IF(F62+SUM(E$17:E62)=D$10,F62,D$10-SUM(E$17:E62))</f>
        <v>0</v>
      </c>
      <c r="E63" s="354">
        <f>IF(+I14&lt;F62,I14,D63)</f>
        <v>0</v>
      </c>
      <c r="F63" s="55">
        <f t="shared" si="34"/>
        <v>0</v>
      </c>
      <c r="G63" s="355">
        <f t="shared" si="32"/>
        <v>0</v>
      </c>
      <c r="H63" s="336">
        <f t="shared" si="33"/>
        <v>0</v>
      </c>
      <c r="I63" s="52">
        <f t="shared" si="35"/>
        <v>0</v>
      </c>
      <c r="J63" s="52"/>
      <c r="K63" s="115"/>
      <c r="L63" s="54">
        <f t="shared" si="36"/>
        <v>0</v>
      </c>
      <c r="M63" s="115"/>
      <c r="N63" s="54">
        <f t="shared" si="37"/>
        <v>0</v>
      </c>
      <c r="O63" s="54">
        <f t="shared" si="38"/>
        <v>0</v>
      </c>
      <c r="P63" s="1"/>
    </row>
    <row r="64" spans="2:16">
      <c r="B64" s="7" t="str">
        <f t="shared" si="4"/>
        <v/>
      </c>
      <c r="C64" s="50">
        <f>IF(D11="","-",+C63+1)</f>
        <v>2053</v>
      </c>
      <c r="D64" s="55">
        <f>IF(F63+SUM(E$17:E63)=D$10,F63,D$10-SUM(E$17:E63))</f>
        <v>0</v>
      </c>
      <c r="E64" s="354">
        <f>IF(+I14&lt;F63,I14,D64)</f>
        <v>0</v>
      </c>
      <c r="F64" s="55">
        <f t="shared" si="34"/>
        <v>0</v>
      </c>
      <c r="G64" s="355">
        <f t="shared" si="32"/>
        <v>0</v>
      </c>
      <c r="H64" s="336">
        <f t="shared" si="33"/>
        <v>0</v>
      </c>
      <c r="I64" s="52">
        <f t="shared" si="35"/>
        <v>0</v>
      </c>
      <c r="J64" s="52"/>
      <c r="K64" s="115"/>
      <c r="L64" s="54">
        <f t="shared" si="36"/>
        <v>0</v>
      </c>
      <c r="M64" s="115"/>
      <c r="N64" s="54">
        <f t="shared" si="37"/>
        <v>0</v>
      </c>
      <c r="O64" s="54">
        <f t="shared" si="38"/>
        <v>0</v>
      </c>
      <c r="P64" s="1"/>
    </row>
    <row r="65" spans="2:16">
      <c r="B65" s="7" t="str">
        <f t="shared" si="4"/>
        <v/>
      </c>
      <c r="C65" s="50">
        <f>IF(D11="","-",+C64+1)</f>
        <v>2054</v>
      </c>
      <c r="D65" s="55">
        <f>IF(F64+SUM(E$17:E64)=D$10,F64,D$10-SUM(E$17:E64))</f>
        <v>0</v>
      </c>
      <c r="E65" s="354">
        <f>IF(+I14&lt;F64,I14,D65)</f>
        <v>0</v>
      </c>
      <c r="F65" s="55">
        <f t="shared" si="34"/>
        <v>0</v>
      </c>
      <c r="G65" s="355">
        <f t="shared" si="32"/>
        <v>0</v>
      </c>
      <c r="H65" s="336">
        <f t="shared" si="33"/>
        <v>0</v>
      </c>
      <c r="I65" s="52">
        <f t="shared" si="35"/>
        <v>0</v>
      </c>
      <c r="J65" s="52"/>
      <c r="K65" s="115"/>
      <c r="L65" s="54">
        <f t="shared" si="36"/>
        <v>0</v>
      </c>
      <c r="M65" s="115"/>
      <c r="N65" s="54">
        <f t="shared" si="37"/>
        <v>0</v>
      </c>
      <c r="O65" s="54">
        <f t="shared" si="38"/>
        <v>0</v>
      </c>
      <c r="P65" s="1"/>
    </row>
    <row r="66" spans="2:16">
      <c r="B66" s="7" t="str">
        <f t="shared" si="4"/>
        <v/>
      </c>
      <c r="C66" s="50">
        <f>IF(D11="","-",+C65+1)</f>
        <v>2055</v>
      </c>
      <c r="D66" s="55">
        <f>IF(F65+SUM(E$17:E65)=D$10,F65,D$10-SUM(E$17:E65))</f>
        <v>0</v>
      </c>
      <c r="E66" s="354">
        <f>IF(+I14&lt;F65,I14,D66)</f>
        <v>0</v>
      </c>
      <c r="F66" s="55">
        <f t="shared" si="34"/>
        <v>0</v>
      </c>
      <c r="G66" s="355">
        <f t="shared" si="32"/>
        <v>0</v>
      </c>
      <c r="H66" s="336">
        <f t="shared" si="33"/>
        <v>0</v>
      </c>
      <c r="I66" s="52">
        <f t="shared" si="35"/>
        <v>0</v>
      </c>
      <c r="J66" s="52"/>
      <c r="K66" s="115"/>
      <c r="L66" s="54">
        <f t="shared" si="36"/>
        <v>0</v>
      </c>
      <c r="M66" s="115"/>
      <c r="N66" s="54">
        <f t="shared" si="37"/>
        <v>0</v>
      </c>
      <c r="O66" s="54">
        <f t="shared" si="38"/>
        <v>0</v>
      </c>
      <c r="P66" s="1"/>
    </row>
    <row r="67" spans="2:16">
      <c r="B67" s="7" t="str">
        <f t="shared" si="4"/>
        <v/>
      </c>
      <c r="C67" s="50">
        <f>IF(D11="","-",+C66+1)</f>
        <v>2056</v>
      </c>
      <c r="D67" s="55">
        <f>IF(F66+SUM(E$17:E66)=D$10,F66,D$10-SUM(E$17:E66))</f>
        <v>0</v>
      </c>
      <c r="E67" s="354">
        <f>IF(+I14&lt;F66,I14,D67)</f>
        <v>0</v>
      </c>
      <c r="F67" s="55">
        <f t="shared" si="34"/>
        <v>0</v>
      </c>
      <c r="G67" s="355">
        <f t="shared" si="32"/>
        <v>0</v>
      </c>
      <c r="H67" s="336">
        <f t="shared" si="33"/>
        <v>0</v>
      </c>
      <c r="I67" s="52">
        <f t="shared" si="35"/>
        <v>0</v>
      </c>
      <c r="J67" s="52"/>
      <c r="K67" s="115"/>
      <c r="L67" s="54">
        <f t="shared" si="36"/>
        <v>0</v>
      </c>
      <c r="M67" s="115"/>
      <c r="N67" s="54">
        <f t="shared" si="37"/>
        <v>0</v>
      </c>
      <c r="O67" s="54">
        <f t="shared" si="38"/>
        <v>0</v>
      </c>
      <c r="P67" s="1"/>
    </row>
    <row r="68" spans="2:16">
      <c r="B68" s="7" t="str">
        <f t="shared" si="4"/>
        <v/>
      </c>
      <c r="C68" s="50">
        <f>IF(D11="","-",+C67+1)</f>
        <v>2057</v>
      </c>
      <c r="D68" s="55">
        <f>IF(F67+SUM(E$17:E67)=D$10,F67,D$10-SUM(E$17:E67))</f>
        <v>0</v>
      </c>
      <c r="E68" s="354">
        <f>IF(+I14&lt;F67,I14,D68)</f>
        <v>0</v>
      </c>
      <c r="F68" s="55">
        <f t="shared" si="34"/>
        <v>0</v>
      </c>
      <c r="G68" s="355">
        <f t="shared" si="32"/>
        <v>0</v>
      </c>
      <c r="H68" s="336">
        <f t="shared" si="33"/>
        <v>0</v>
      </c>
      <c r="I68" s="52">
        <f t="shared" si="35"/>
        <v>0</v>
      </c>
      <c r="J68" s="52"/>
      <c r="K68" s="115"/>
      <c r="L68" s="54">
        <f t="shared" si="36"/>
        <v>0</v>
      </c>
      <c r="M68" s="115"/>
      <c r="N68" s="54">
        <f t="shared" si="37"/>
        <v>0</v>
      </c>
      <c r="O68" s="54">
        <f t="shared" si="38"/>
        <v>0</v>
      </c>
      <c r="P68" s="1"/>
    </row>
    <row r="69" spans="2:16">
      <c r="B69" s="7" t="str">
        <f t="shared" si="4"/>
        <v/>
      </c>
      <c r="C69" s="50">
        <f>IF(D11="","-",+C68+1)</f>
        <v>2058</v>
      </c>
      <c r="D69" s="55">
        <f>IF(F68+SUM(E$17:E68)=D$10,F68,D$10-SUM(E$17:E68))</f>
        <v>0</v>
      </c>
      <c r="E69" s="354">
        <f>IF(+I14&lt;F68,I14,D69)</f>
        <v>0</v>
      </c>
      <c r="F69" s="55">
        <f t="shared" si="34"/>
        <v>0</v>
      </c>
      <c r="G69" s="355">
        <f t="shared" si="32"/>
        <v>0</v>
      </c>
      <c r="H69" s="336">
        <f t="shared" si="33"/>
        <v>0</v>
      </c>
      <c r="I69" s="52">
        <f t="shared" si="35"/>
        <v>0</v>
      </c>
      <c r="J69" s="52"/>
      <c r="K69" s="115"/>
      <c r="L69" s="54">
        <f t="shared" si="36"/>
        <v>0</v>
      </c>
      <c r="M69" s="115"/>
      <c r="N69" s="54">
        <f t="shared" si="37"/>
        <v>0</v>
      </c>
      <c r="O69" s="54">
        <f t="shared" si="38"/>
        <v>0</v>
      </c>
      <c r="P69" s="1"/>
    </row>
    <row r="70" spans="2:16">
      <c r="B70" s="7" t="str">
        <f t="shared" si="4"/>
        <v/>
      </c>
      <c r="C70" s="50">
        <f>IF(D11="","-",+C69+1)</f>
        <v>2059</v>
      </c>
      <c r="D70" s="55">
        <f>IF(F69+SUM(E$17:E69)=D$10,F69,D$10-SUM(E$17:E69))</f>
        <v>0</v>
      </c>
      <c r="E70" s="354">
        <f>IF(+I14&lt;F69,I14,D70)</f>
        <v>0</v>
      </c>
      <c r="F70" s="55">
        <f t="shared" si="34"/>
        <v>0</v>
      </c>
      <c r="G70" s="355">
        <f t="shared" si="32"/>
        <v>0</v>
      </c>
      <c r="H70" s="336">
        <f t="shared" si="33"/>
        <v>0</v>
      </c>
      <c r="I70" s="52">
        <f t="shared" si="35"/>
        <v>0</v>
      </c>
      <c r="J70" s="52"/>
      <c r="K70" s="115"/>
      <c r="L70" s="54">
        <f t="shared" si="36"/>
        <v>0</v>
      </c>
      <c r="M70" s="115"/>
      <c r="N70" s="54">
        <f t="shared" si="37"/>
        <v>0</v>
      </c>
      <c r="O70" s="54">
        <f t="shared" si="38"/>
        <v>0</v>
      </c>
      <c r="P70" s="1"/>
    </row>
    <row r="71" spans="2:16">
      <c r="B71" s="7" t="str">
        <f t="shared" si="4"/>
        <v/>
      </c>
      <c r="C71" s="50">
        <f>IF(D11="","-",+C70+1)</f>
        <v>2060</v>
      </c>
      <c r="D71" s="55">
        <f>IF(F70+SUM(E$17:E70)=D$10,F70,D$10-SUM(E$17:E70))</f>
        <v>0</v>
      </c>
      <c r="E71" s="354">
        <f>IF(+I14&lt;F70,I14,D71)</f>
        <v>0</v>
      </c>
      <c r="F71" s="55">
        <f t="shared" si="34"/>
        <v>0</v>
      </c>
      <c r="G71" s="355">
        <f t="shared" si="32"/>
        <v>0</v>
      </c>
      <c r="H71" s="336">
        <f t="shared" si="33"/>
        <v>0</v>
      </c>
      <c r="I71" s="52">
        <f t="shared" si="35"/>
        <v>0</v>
      </c>
      <c r="J71" s="52"/>
      <c r="K71" s="115"/>
      <c r="L71" s="54">
        <f t="shared" si="36"/>
        <v>0</v>
      </c>
      <c r="M71" s="115"/>
      <c r="N71" s="54">
        <f t="shared" si="37"/>
        <v>0</v>
      </c>
      <c r="O71" s="54">
        <f t="shared" si="38"/>
        <v>0</v>
      </c>
      <c r="P71" s="1"/>
    </row>
    <row r="72" spans="2:16" ht="13.5" thickBot="1">
      <c r="B72" s="7" t="str">
        <f t="shared" si="4"/>
        <v/>
      </c>
      <c r="C72" s="58">
        <f>IF(D11="","-",+C71+1)</f>
        <v>2061</v>
      </c>
      <c r="D72" s="59">
        <f>IF(F71+SUM(E$17:E71)=D$10,F71,D$10-SUM(E$17:E71))</f>
        <v>0</v>
      </c>
      <c r="E72" s="357">
        <f>IF(+I14&lt;F71,I14,D72)</f>
        <v>0</v>
      </c>
      <c r="F72" s="59">
        <f t="shared" si="34"/>
        <v>0</v>
      </c>
      <c r="G72" s="59">
        <f t="shared" si="32"/>
        <v>0</v>
      </c>
      <c r="H72" s="59">
        <f t="shared" si="33"/>
        <v>0</v>
      </c>
      <c r="I72" s="61">
        <f t="shared" si="35"/>
        <v>0</v>
      </c>
      <c r="J72" s="52"/>
      <c r="K72" s="116"/>
      <c r="L72" s="62">
        <f t="shared" si="36"/>
        <v>0</v>
      </c>
      <c r="M72" s="116"/>
      <c r="N72" s="62">
        <f t="shared" si="37"/>
        <v>0</v>
      </c>
      <c r="O72" s="62">
        <f t="shared" si="38"/>
        <v>0</v>
      </c>
      <c r="P72" s="1"/>
    </row>
    <row r="73" spans="2:16">
      <c r="C73" s="12" t="s">
        <v>77</v>
      </c>
      <c r="D73" s="266"/>
      <c r="E73" s="266">
        <f>SUM(E17:E72)</f>
        <v>56133</v>
      </c>
      <c r="F73" s="266"/>
      <c r="G73" s="266">
        <f>SUM(G17:G72)</f>
        <v>180726.21367121799</v>
      </c>
      <c r="H73" s="266">
        <f>SUM(H17:H72)</f>
        <v>180726.21367121799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8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5184.3313183350274</v>
      </c>
      <c r="N87" s="364">
        <f>IF(J92&lt;D11,0,VLOOKUP(J92,C17:O72,11))</f>
        <v>5184.3313183350274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5528.7921941652912</v>
      </c>
      <c r="N88" s="367">
        <f>IF(J92&lt;D11,0,VLOOKUP(J92,C99:P154,7))</f>
        <v>5528.7921941652912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Weleetka &amp; Okmulgee Wavetrap replacement 81-805*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344.46087583026383</v>
      </c>
      <c r="N89" s="369">
        <f>+N88-N87</f>
        <v>344.46087583026383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TP2005046</v>
      </c>
      <c r="E91" s="74" t="str">
        <f>E9</f>
        <v>SPP Project ID =</v>
      </c>
      <c r="F91" s="74" t="str">
        <f>F9</f>
        <v>3 &amp; 4</v>
      </c>
      <c r="G91" s="74"/>
      <c r="H91" s="74"/>
      <c r="I91" s="74"/>
      <c r="J91" s="74"/>
    </row>
    <row r="92" spans="1:16">
      <c r="C92" s="128" t="s">
        <v>226</v>
      </c>
      <c r="D92" s="335">
        <v>56133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2006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3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1517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2006</v>
      </c>
      <c r="D99" s="348">
        <v>0</v>
      </c>
      <c r="E99" s="352">
        <v>0</v>
      </c>
      <c r="F99" s="351">
        <v>56133</v>
      </c>
      <c r="G99" s="376">
        <v>28067</v>
      </c>
      <c r="H99" s="377">
        <v>0</v>
      </c>
      <c r="I99" s="378">
        <v>0</v>
      </c>
      <c r="J99" s="54">
        <f t="shared" ref="J99:J130" si="39">+I99-H99</f>
        <v>0</v>
      </c>
      <c r="K99" s="54"/>
      <c r="L99" s="117">
        <v>0</v>
      </c>
      <c r="M99" s="53">
        <f t="shared" ref="M99:M130" si="40">IF(L99&lt;&gt;0,+H99-L99,0)</f>
        <v>0</v>
      </c>
      <c r="N99" s="117">
        <v>0</v>
      </c>
      <c r="O99" s="53">
        <f t="shared" ref="O99:O130" si="41">IF(N99&lt;&gt;0,+I99-N99,0)</f>
        <v>0</v>
      </c>
      <c r="P99" s="53">
        <f t="shared" ref="P99:P130" si="42">+O99-M99</f>
        <v>0</v>
      </c>
    </row>
    <row r="100" spans="1:16">
      <c r="B100" s="7" t="str">
        <f>IF(D100=F99,"","IU")</f>
        <v/>
      </c>
      <c r="C100" s="50">
        <f>IF(D93="","-",+C99+1)</f>
        <v>2007</v>
      </c>
      <c r="D100" s="348">
        <v>56133</v>
      </c>
      <c r="E100" s="352">
        <v>1059</v>
      </c>
      <c r="F100" s="351">
        <v>55074</v>
      </c>
      <c r="G100" s="351">
        <v>55603</v>
      </c>
      <c r="H100" s="352">
        <v>0</v>
      </c>
      <c r="I100" s="353">
        <v>0</v>
      </c>
      <c r="J100" s="54">
        <f t="shared" si="39"/>
        <v>0</v>
      </c>
      <c r="K100" s="54"/>
      <c r="L100" s="350">
        <v>0</v>
      </c>
      <c r="M100" s="54">
        <f t="shared" si="40"/>
        <v>0</v>
      </c>
      <c r="N100" s="350">
        <v>0</v>
      </c>
      <c r="O100" s="54">
        <f t="shared" si="41"/>
        <v>0</v>
      </c>
      <c r="P100" s="54">
        <f t="shared" si="42"/>
        <v>0</v>
      </c>
    </row>
    <row r="101" spans="1:16">
      <c r="B101" s="7" t="str">
        <f t="shared" ref="B101:B154" si="43">IF(D101=F100,"","IU")</f>
        <v/>
      </c>
      <c r="C101" s="50">
        <f>IF(D93="","-",+C100+1)</f>
        <v>2008</v>
      </c>
      <c r="D101" s="348">
        <v>55074</v>
      </c>
      <c r="E101" s="352">
        <v>1059</v>
      </c>
      <c r="F101" s="351">
        <v>54015</v>
      </c>
      <c r="G101" s="351">
        <v>54544</v>
      </c>
      <c r="H101" s="352">
        <v>9723</v>
      </c>
      <c r="I101" s="353">
        <v>9723</v>
      </c>
      <c r="J101" s="54">
        <f t="shared" si="39"/>
        <v>0</v>
      </c>
      <c r="K101" s="54"/>
      <c r="L101" s="350">
        <v>9723</v>
      </c>
      <c r="M101" s="54">
        <f t="shared" si="40"/>
        <v>0</v>
      </c>
      <c r="N101" s="350">
        <v>9723</v>
      </c>
      <c r="O101" s="54">
        <f t="shared" si="41"/>
        <v>0</v>
      </c>
      <c r="P101" s="54">
        <f t="shared" si="42"/>
        <v>0</v>
      </c>
    </row>
    <row r="102" spans="1:16">
      <c r="B102" s="7" t="str">
        <f t="shared" si="43"/>
        <v/>
      </c>
      <c r="C102" s="50">
        <f>IF(D93="","-",+C101+1)</f>
        <v>2009</v>
      </c>
      <c r="D102" s="348">
        <v>54015</v>
      </c>
      <c r="E102" s="352">
        <v>1002</v>
      </c>
      <c r="F102" s="351">
        <v>53013</v>
      </c>
      <c r="G102" s="351">
        <v>53514</v>
      </c>
      <c r="H102" s="352">
        <v>8826.1899911613018</v>
      </c>
      <c r="I102" s="353">
        <v>8826.1899911613018</v>
      </c>
      <c r="J102" s="54">
        <f t="shared" si="39"/>
        <v>0</v>
      </c>
      <c r="K102" s="54"/>
      <c r="L102" s="379">
        <f t="shared" ref="L102:L107" si="44">H102</f>
        <v>8826.1899911613018</v>
      </c>
      <c r="M102" s="380">
        <f t="shared" si="40"/>
        <v>0</v>
      </c>
      <c r="N102" s="379">
        <f t="shared" ref="N102:N107" si="45">I102</f>
        <v>8826.1899911613018</v>
      </c>
      <c r="O102" s="54">
        <f t="shared" si="41"/>
        <v>0</v>
      </c>
      <c r="P102" s="54">
        <f t="shared" si="42"/>
        <v>0</v>
      </c>
    </row>
    <row r="103" spans="1:16">
      <c r="B103" s="7" t="str">
        <f t="shared" si="43"/>
        <v/>
      </c>
      <c r="C103" s="50">
        <f>IF(D93="","-",+C102+1)</f>
        <v>2010</v>
      </c>
      <c r="D103" s="348">
        <v>53013</v>
      </c>
      <c r="E103" s="352">
        <v>1101</v>
      </c>
      <c r="F103" s="351">
        <v>51912</v>
      </c>
      <c r="G103" s="351">
        <v>52462.5</v>
      </c>
      <c r="H103" s="352">
        <v>9537.7685710444202</v>
      </c>
      <c r="I103" s="353">
        <v>9537.7685710444202</v>
      </c>
      <c r="J103" s="54">
        <f t="shared" si="39"/>
        <v>0</v>
      </c>
      <c r="K103" s="54"/>
      <c r="L103" s="379">
        <f t="shared" si="44"/>
        <v>9537.7685710444202</v>
      </c>
      <c r="M103" s="380">
        <f t="shared" si="40"/>
        <v>0</v>
      </c>
      <c r="N103" s="379">
        <f t="shared" si="45"/>
        <v>9537.7685710444202</v>
      </c>
      <c r="O103" s="54">
        <f t="shared" si="41"/>
        <v>0</v>
      </c>
      <c r="P103" s="54">
        <f t="shared" si="42"/>
        <v>0</v>
      </c>
    </row>
    <row r="104" spans="1:16">
      <c r="B104" s="7" t="str">
        <f t="shared" si="43"/>
        <v/>
      </c>
      <c r="C104" s="50">
        <f>IF(D93="","-",+C103+1)</f>
        <v>2011</v>
      </c>
      <c r="D104" s="348">
        <v>51912</v>
      </c>
      <c r="E104" s="352">
        <v>1079</v>
      </c>
      <c r="F104" s="351">
        <v>50833</v>
      </c>
      <c r="G104" s="351">
        <v>51372.5</v>
      </c>
      <c r="H104" s="352">
        <v>8261.5658402233203</v>
      </c>
      <c r="I104" s="353">
        <v>8261.5658402233203</v>
      </c>
      <c r="J104" s="54">
        <f t="shared" si="39"/>
        <v>0</v>
      </c>
      <c r="K104" s="54"/>
      <c r="L104" s="379">
        <f t="shared" si="44"/>
        <v>8261.5658402233203</v>
      </c>
      <c r="M104" s="380">
        <f t="shared" si="40"/>
        <v>0</v>
      </c>
      <c r="N104" s="379">
        <f t="shared" si="45"/>
        <v>8261.5658402233203</v>
      </c>
      <c r="O104" s="54">
        <f t="shared" si="41"/>
        <v>0</v>
      </c>
      <c r="P104" s="54">
        <f t="shared" si="42"/>
        <v>0</v>
      </c>
    </row>
    <row r="105" spans="1:16">
      <c r="B105" s="7" t="str">
        <f t="shared" si="43"/>
        <v/>
      </c>
      <c r="C105" s="50">
        <f>IF(D93="","-",+C104+1)</f>
        <v>2012</v>
      </c>
      <c r="D105" s="348">
        <v>50833</v>
      </c>
      <c r="E105" s="352">
        <v>1079</v>
      </c>
      <c r="F105" s="351">
        <v>49754</v>
      </c>
      <c r="G105" s="351">
        <v>50293.5</v>
      </c>
      <c r="H105" s="352">
        <v>8313.995673781943</v>
      </c>
      <c r="I105" s="353">
        <v>8313.995673781943</v>
      </c>
      <c r="J105" s="54">
        <v>0</v>
      </c>
      <c r="K105" s="54"/>
      <c r="L105" s="379">
        <f t="shared" si="44"/>
        <v>8313.995673781943</v>
      </c>
      <c r="M105" s="380">
        <f t="shared" ref="M105:M110" si="46">IF(L105&lt;&gt;0,+H105-L105,0)</f>
        <v>0</v>
      </c>
      <c r="N105" s="379">
        <f t="shared" si="45"/>
        <v>8313.995673781943</v>
      </c>
      <c r="O105" s="54">
        <f t="shared" ref="O105:O110" si="47">IF(N105&lt;&gt;0,+I105-N105,0)</f>
        <v>0</v>
      </c>
      <c r="P105" s="54">
        <f t="shared" ref="P105:P110" si="48">+O105-M105</f>
        <v>0</v>
      </c>
    </row>
    <row r="106" spans="1:16">
      <c r="B106" s="7" t="str">
        <f t="shared" si="43"/>
        <v/>
      </c>
      <c r="C106" s="50">
        <f>IF(D93="","-",+C105+1)</f>
        <v>2013</v>
      </c>
      <c r="D106" s="348">
        <v>49754</v>
      </c>
      <c r="E106" s="352">
        <v>1079</v>
      </c>
      <c r="F106" s="351">
        <v>48675</v>
      </c>
      <c r="G106" s="351">
        <v>49214.5</v>
      </c>
      <c r="H106" s="352">
        <v>8162.9151459393179</v>
      </c>
      <c r="I106" s="353">
        <v>8162.9151459393179</v>
      </c>
      <c r="J106" s="54">
        <v>0</v>
      </c>
      <c r="K106" s="54"/>
      <c r="L106" s="379">
        <f t="shared" si="44"/>
        <v>8162.9151459393179</v>
      </c>
      <c r="M106" s="380">
        <f t="shared" si="46"/>
        <v>0</v>
      </c>
      <c r="N106" s="379">
        <f t="shared" si="45"/>
        <v>8162.9151459393179</v>
      </c>
      <c r="O106" s="54">
        <f t="shared" si="47"/>
        <v>0</v>
      </c>
      <c r="P106" s="54">
        <f t="shared" si="48"/>
        <v>0</v>
      </c>
    </row>
    <row r="107" spans="1:16">
      <c r="B107" s="7" t="str">
        <f t="shared" si="43"/>
        <v/>
      </c>
      <c r="C107" s="50">
        <f>IF(D93="","-",+C106+1)</f>
        <v>2014</v>
      </c>
      <c r="D107" s="348">
        <v>48675</v>
      </c>
      <c r="E107" s="352">
        <v>1079</v>
      </c>
      <c r="F107" s="351">
        <v>47596</v>
      </c>
      <c r="G107" s="351">
        <v>48135.5</v>
      </c>
      <c r="H107" s="352">
        <v>7846.6545337569178</v>
      </c>
      <c r="I107" s="353">
        <v>7846.6545337569178</v>
      </c>
      <c r="J107" s="54">
        <v>0</v>
      </c>
      <c r="K107" s="54"/>
      <c r="L107" s="379">
        <f t="shared" si="44"/>
        <v>7846.6545337569178</v>
      </c>
      <c r="M107" s="380">
        <f t="shared" si="46"/>
        <v>0</v>
      </c>
      <c r="N107" s="379">
        <f t="shared" si="45"/>
        <v>7846.6545337569178</v>
      </c>
      <c r="O107" s="54">
        <f t="shared" si="47"/>
        <v>0</v>
      </c>
      <c r="P107" s="54">
        <f t="shared" si="48"/>
        <v>0</v>
      </c>
    </row>
    <row r="108" spans="1:16">
      <c r="B108" s="7" t="str">
        <f t="shared" si="43"/>
        <v/>
      </c>
      <c r="C108" s="50">
        <f>IF(D93="","-",+C107+1)</f>
        <v>2015</v>
      </c>
      <c r="D108" s="348">
        <v>47596</v>
      </c>
      <c r="E108" s="352">
        <v>1079</v>
      </c>
      <c r="F108" s="351">
        <v>46517</v>
      </c>
      <c r="G108" s="351">
        <v>47056.5</v>
      </c>
      <c r="H108" s="352">
        <v>7499.4810720950254</v>
      </c>
      <c r="I108" s="353">
        <v>7499.4810720950254</v>
      </c>
      <c r="J108" s="54">
        <f t="shared" si="39"/>
        <v>0</v>
      </c>
      <c r="K108" s="54"/>
      <c r="L108" s="379">
        <f t="shared" ref="L108:L113" si="49">H108</f>
        <v>7499.4810720950254</v>
      </c>
      <c r="M108" s="380">
        <f t="shared" si="46"/>
        <v>0</v>
      </c>
      <c r="N108" s="379">
        <f t="shared" ref="N108:N113" si="50">I108</f>
        <v>7499.4810720950254</v>
      </c>
      <c r="O108" s="54">
        <f t="shared" si="47"/>
        <v>0</v>
      </c>
      <c r="P108" s="54">
        <f t="shared" si="48"/>
        <v>0</v>
      </c>
    </row>
    <row r="109" spans="1:16">
      <c r="B109" s="7" t="str">
        <f t="shared" si="43"/>
        <v/>
      </c>
      <c r="C109" s="50">
        <f>IF(D93="","-",+C108+1)</f>
        <v>2016</v>
      </c>
      <c r="D109" s="348">
        <v>46517</v>
      </c>
      <c r="E109" s="352">
        <v>1220</v>
      </c>
      <c r="F109" s="351">
        <v>45297</v>
      </c>
      <c r="G109" s="351">
        <v>45907</v>
      </c>
      <c r="H109" s="352">
        <v>7138.135283574793</v>
      </c>
      <c r="I109" s="353">
        <v>7138.135283574793</v>
      </c>
      <c r="J109" s="54">
        <f t="shared" si="39"/>
        <v>0</v>
      </c>
      <c r="K109" s="54"/>
      <c r="L109" s="379">
        <f t="shared" si="49"/>
        <v>7138.135283574793</v>
      </c>
      <c r="M109" s="380">
        <f t="shared" si="46"/>
        <v>0</v>
      </c>
      <c r="N109" s="379">
        <f t="shared" si="50"/>
        <v>7138.135283574793</v>
      </c>
      <c r="O109" s="54">
        <f t="shared" si="47"/>
        <v>0</v>
      </c>
      <c r="P109" s="54">
        <f t="shared" si="48"/>
        <v>0</v>
      </c>
    </row>
    <row r="110" spans="1:16">
      <c r="B110" s="7" t="str">
        <f t="shared" si="43"/>
        <v/>
      </c>
      <c r="C110" s="50">
        <f>IF(D93="","-",+C109+1)</f>
        <v>2017</v>
      </c>
      <c r="D110" s="348">
        <v>45297</v>
      </c>
      <c r="E110" s="352">
        <v>1220</v>
      </c>
      <c r="F110" s="351">
        <v>44077</v>
      </c>
      <c r="G110" s="351">
        <v>44687</v>
      </c>
      <c r="H110" s="352">
        <v>6888.6586283105316</v>
      </c>
      <c r="I110" s="353">
        <v>6888.6586283105316</v>
      </c>
      <c r="J110" s="54">
        <f t="shared" si="39"/>
        <v>0</v>
      </c>
      <c r="K110" s="54"/>
      <c r="L110" s="379">
        <f t="shared" si="49"/>
        <v>6888.6586283105316</v>
      </c>
      <c r="M110" s="380">
        <f t="shared" si="46"/>
        <v>0</v>
      </c>
      <c r="N110" s="379">
        <f t="shared" si="50"/>
        <v>6888.6586283105316</v>
      </c>
      <c r="O110" s="54">
        <f t="shared" si="47"/>
        <v>0</v>
      </c>
      <c r="P110" s="54">
        <f t="shared" si="48"/>
        <v>0</v>
      </c>
    </row>
    <row r="111" spans="1:16">
      <c r="B111" s="7" t="str">
        <f t="shared" si="43"/>
        <v/>
      </c>
      <c r="C111" s="50">
        <f>IF(D93="","-",+C110+1)</f>
        <v>2018</v>
      </c>
      <c r="D111" s="348">
        <v>44077</v>
      </c>
      <c r="E111" s="352">
        <v>1305</v>
      </c>
      <c r="F111" s="351">
        <v>42772</v>
      </c>
      <c r="G111" s="351">
        <v>43424.5</v>
      </c>
      <c r="H111" s="352">
        <v>5766.2406216754998</v>
      </c>
      <c r="I111" s="353">
        <v>5766.2406216754998</v>
      </c>
      <c r="J111" s="54">
        <f t="shared" si="39"/>
        <v>0</v>
      </c>
      <c r="K111" s="54"/>
      <c r="L111" s="379">
        <f t="shared" si="49"/>
        <v>5766.2406216754998</v>
      </c>
      <c r="M111" s="380">
        <f t="shared" ref="M111" si="51">IF(L111&lt;&gt;0,+H111-L111,0)</f>
        <v>0</v>
      </c>
      <c r="N111" s="379">
        <f t="shared" si="50"/>
        <v>5766.2406216754998</v>
      </c>
      <c r="O111" s="54">
        <f t="shared" ref="O111" si="52">IF(N111&lt;&gt;0,+I111-N111,0)</f>
        <v>0</v>
      </c>
      <c r="P111" s="54">
        <f t="shared" ref="P111" si="53">+O111-M111</f>
        <v>0</v>
      </c>
    </row>
    <row r="112" spans="1:16">
      <c r="B112" s="7" t="str">
        <f t="shared" si="43"/>
        <v/>
      </c>
      <c r="C112" s="50">
        <f>IF(D93="","-",+C111+1)</f>
        <v>2019</v>
      </c>
      <c r="D112" s="348">
        <v>42772</v>
      </c>
      <c r="E112" s="352">
        <v>1369</v>
      </c>
      <c r="F112" s="351">
        <v>41403</v>
      </c>
      <c r="G112" s="351">
        <v>42087.5</v>
      </c>
      <c r="H112" s="352">
        <v>5708.8115726685282</v>
      </c>
      <c r="I112" s="353">
        <v>5708.8115726685282</v>
      </c>
      <c r="J112" s="54">
        <f t="shared" si="39"/>
        <v>0</v>
      </c>
      <c r="K112" s="54"/>
      <c r="L112" s="379">
        <f t="shared" si="49"/>
        <v>5708.8115726685282</v>
      </c>
      <c r="M112" s="380">
        <f t="shared" ref="M112" si="54">IF(L112&lt;&gt;0,+H112-L112,0)</f>
        <v>0</v>
      </c>
      <c r="N112" s="379">
        <f t="shared" si="50"/>
        <v>5708.8115726685282</v>
      </c>
      <c r="O112" s="54">
        <f t="shared" si="41"/>
        <v>0</v>
      </c>
      <c r="P112" s="54">
        <f t="shared" si="42"/>
        <v>0</v>
      </c>
    </row>
    <row r="113" spans="2:16">
      <c r="B113" s="7" t="str">
        <f t="shared" si="43"/>
        <v/>
      </c>
      <c r="C113" s="50">
        <f>IF(D93="","-",+C112+1)</f>
        <v>2020</v>
      </c>
      <c r="D113" s="348">
        <v>41403</v>
      </c>
      <c r="E113" s="352">
        <v>1305</v>
      </c>
      <c r="F113" s="351">
        <v>40098</v>
      </c>
      <c r="G113" s="351">
        <v>40750.5</v>
      </c>
      <c r="H113" s="352">
        <v>6003.4206157380368</v>
      </c>
      <c r="I113" s="353">
        <v>6003.4206157380368</v>
      </c>
      <c r="J113" s="54">
        <f t="shared" si="39"/>
        <v>0</v>
      </c>
      <c r="K113" s="54"/>
      <c r="L113" s="379">
        <f t="shared" si="49"/>
        <v>6003.4206157380368</v>
      </c>
      <c r="M113" s="380">
        <f t="shared" ref="M113" si="55">IF(L113&lt;&gt;0,+H113-L113,0)</f>
        <v>0</v>
      </c>
      <c r="N113" s="379">
        <f t="shared" si="50"/>
        <v>6003.4206157380368</v>
      </c>
      <c r="O113" s="54">
        <f t="shared" si="41"/>
        <v>0</v>
      </c>
      <c r="P113" s="54">
        <f t="shared" si="42"/>
        <v>0</v>
      </c>
    </row>
    <row r="114" spans="2:16">
      <c r="B114" s="7" t="str">
        <f t="shared" si="43"/>
        <v/>
      </c>
      <c r="C114" s="50">
        <f>IF(D93="","-",+C113+1)</f>
        <v>2021</v>
      </c>
      <c r="D114" s="348">
        <v>40098</v>
      </c>
      <c r="E114" s="352">
        <v>1369</v>
      </c>
      <c r="F114" s="351">
        <v>38729</v>
      </c>
      <c r="G114" s="351">
        <v>39413.5</v>
      </c>
      <c r="H114" s="352">
        <v>5853.9722481455983</v>
      </c>
      <c r="I114" s="353">
        <v>5853.9722481455983</v>
      </c>
      <c r="J114" s="54">
        <f t="shared" si="39"/>
        <v>0</v>
      </c>
      <c r="K114" s="54"/>
      <c r="L114" s="379">
        <f t="shared" ref="L114" si="56">H114</f>
        <v>5853.9722481455983</v>
      </c>
      <c r="M114" s="380">
        <f t="shared" ref="M114" si="57">IF(L114&lt;&gt;0,+H114-L114,0)</f>
        <v>0</v>
      </c>
      <c r="N114" s="379">
        <f t="shared" ref="N114" si="58">I114</f>
        <v>5853.9722481455983</v>
      </c>
      <c r="O114" s="54">
        <f t="shared" si="41"/>
        <v>0</v>
      </c>
      <c r="P114" s="54">
        <f t="shared" si="42"/>
        <v>0</v>
      </c>
    </row>
    <row r="115" spans="2:16">
      <c r="B115" s="7" t="str">
        <f t="shared" si="43"/>
        <v/>
      </c>
      <c r="C115" s="50">
        <f>IF(D93="","-",+C114+1)</f>
        <v>2022</v>
      </c>
      <c r="D115" s="348">
        <v>38729</v>
      </c>
      <c r="E115" s="352">
        <v>1439</v>
      </c>
      <c r="F115" s="351">
        <v>37290</v>
      </c>
      <c r="G115" s="351">
        <v>38009.5</v>
      </c>
      <c r="H115" s="352">
        <v>5626.9875444770105</v>
      </c>
      <c r="I115" s="353">
        <v>5626.9875444770105</v>
      </c>
      <c r="J115" s="54">
        <f t="shared" si="39"/>
        <v>0</v>
      </c>
      <c r="K115" s="54"/>
      <c r="L115" s="379">
        <f t="shared" ref="L115" si="59">H115</f>
        <v>5626.9875444770105</v>
      </c>
      <c r="M115" s="380">
        <f t="shared" ref="M115" si="60">IF(L115&lt;&gt;0,+H115-L115,0)</f>
        <v>0</v>
      </c>
      <c r="N115" s="379">
        <f t="shared" ref="N115" si="61">I115</f>
        <v>5626.9875444770105</v>
      </c>
      <c r="O115" s="54">
        <f t="shared" ref="O115" si="62">IF(N115&lt;&gt;0,+I115-N115,0)</f>
        <v>0</v>
      </c>
      <c r="P115" s="54">
        <f t="shared" ref="P115" si="63">+O115-M115</f>
        <v>0</v>
      </c>
    </row>
    <row r="116" spans="2:16">
      <c r="B116" s="7" t="str">
        <f t="shared" si="43"/>
        <v/>
      </c>
      <c r="C116" s="50">
        <f>IF(D93="","-",+C115+1)</f>
        <v>2023</v>
      </c>
      <c r="D116" s="348">
        <v>37290</v>
      </c>
      <c r="E116" s="352">
        <v>1477</v>
      </c>
      <c r="F116" s="351">
        <v>35813</v>
      </c>
      <c r="G116" s="351">
        <v>36551.5</v>
      </c>
      <c r="H116" s="352">
        <v>5652.1701297565614</v>
      </c>
      <c r="I116" s="353">
        <v>5652.1701297565614</v>
      </c>
      <c r="J116" s="54">
        <f t="shared" si="39"/>
        <v>0</v>
      </c>
      <c r="K116" s="54"/>
      <c r="L116" s="379">
        <f t="shared" ref="L116" si="64">H116</f>
        <v>5652.1701297565614</v>
      </c>
      <c r="M116" s="380">
        <f t="shared" ref="M116" si="65">IF(L116&lt;&gt;0,+H116-L116,0)</f>
        <v>0</v>
      </c>
      <c r="N116" s="379">
        <f t="shared" ref="N116" si="66">I116</f>
        <v>5652.1701297565614</v>
      </c>
      <c r="O116" s="54">
        <f t="shared" ref="O116" si="67">IF(N116&lt;&gt;0,+I116-N116,0)</f>
        <v>0</v>
      </c>
      <c r="P116" s="54">
        <f t="shared" ref="P116" si="68">+O116-M116</f>
        <v>0</v>
      </c>
    </row>
    <row r="117" spans="2:16">
      <c r="B117" s="7" t="str">
        <f t="shared" si="43"/>
        <v/>
      </c>
      <c r="C117" s="50">
        <f>IF(D93="","-",+C116+1)</f>
        <v>2024</v>
      </c>
      <c r="D117" s="348">
        <v>35813</v>
      </c>
      <c r="E117" s="352">
        <v>1517</v>
      </c>
      <c r="F117" s="351">
        <v>34296</v>
      </c>
      <c r="G117" s="351">
        <v>35054.5</v>
      </c>
      <c r="H117" s="352">
        <v>6225.475211189686</v>
      </c>
      <c r="I117" s="353">
        <v>6225.475211189686</v>
      </c>
      <c r="J117" s="54">
        <f t="shared" si="39"/>
        <v>0</v>
      </c>
      <c r="K117" s="54"/>
      <c r="L117" s="379">
        <f t="shared" ref="L117" si="69">H117</f>
        <v>6225.475211189686</v>
      </c>
      <c r="M117" s="380">
        <f t="shared" ref="M117" si="70">IF(L117&lt;&gt;0,+H117-L117,0)</f>
        <v>0</v>
      </c>
      <c r="N117" s="379">
        <f t="shared" ref="N117" si="71">I117</f>
        <v>6225.475211189686</v>
      </c>
      <c r="O117" s="54">
        <f t="shared" ref="O117" si="72">IF(N117&lt;&gt;0,+I117-N117,0)</f>
        <v>0</v>
      </c>
      <c r="P117" s="54">
        <f t="shared" ref="P117" si="73">+O117-M117</f>
        <v>0</v>
      </c>
    </row>
    <row r="118" spans="2:16">
      <c r="B118" s="7" t="str">
        <f t="shared" si="43"/>
        <v/>
      </c>
      <c r="C118" s="50">
        <f>IF(D93="","-",+C117+1)</f>
        <v>2025</v>
      </c>
      <c r="D118" s="12">
        <f>IF(F117+SUM(E$99:E117)=D$92,F117,D$92-SUM(E$99:E117))</f>
        <v>34296</v>
      </c>
      <c r="E118" s="355">
        <f>IF(+J96&lt;F117,J96,D118)</f>
        <v>1517</v>
      </c>
      <c r="F118" s="55">
        <f t="shared" ref="F118:F130" si="74">+D118-E118</f>
        <v>32779</v>
      </c>
      <c r="G118" s="55">
        <f t="shared" ref="G118:G130" si="75">+(F118+D118)/2</f>
        <v>33537.5</v>
      </c>
      <c r="H118" s="355">
        <f t="shared" ref="H118:H153" si="76">(D118+F118)/2*J$94+E118</f>
        <v>5528.7921941652912</v>
      </c>
      <c r="I118" s="381">
        <f t="shared" ref="I118:I153" si="77">+J$95*G118+E118</f>
        <v>5528.7921941652912</v>
      </c>
      <c r="J118" s="54">
        <f t="shared" si="39"/>
        <v>0</v>
      </c>
      <c r="K118" s="54"/>
      <c r="L118" s="115"/>
      <c r="M118" s="54">
        <f t="shared" si="40"/>
        <v>0</v>
      </c>
      <c r="N118" s="115"/>
      <c r="O118" s="54">
        <f t="shared" si="41"/>
        <v>0</v>
      </c>
      <c r="P118" s="54">
        <f t="shared" si="42"/>
        <v>0</v>
      </c>
    </row>
    <row r="119" spans="2:16">
      <c r="B119" s="7" t="str">
        <f t="shared" si="43"/>
        <v/>
      </c>
      <c r="C119" s="50">
        <f>IF(D93="","-",+C118+1)</f>
        <v>2026</v>
      </c>
      <c r="D119" s="12">
        <f>IF(F118+SUM(E$99:E118)=D$92,F118,D$92-SUM(E$99:E118))</f>
        <v>32779</v>
      </c>
      <c r="E119" s="355">
        <f>IF(+J96&lt;F118,J96,D119)</f>
        <v>1517</v>
      </c>
      <c r="F119" s="55">
        <f t="shared" si="74"/>
        <v>31262</v>
      </c>
      <c r="G119" s="55">
        <f t="shared" si="75"/>
        <v>32020.5</v>
      </c>
      <c r="H119" s="355">
        <f t="shared" si="76"/>
        <v>5347.3270056882502</v>
      </c>
      <c r="I119" s="381">
        <f t="shared" si="77"/>
        <v>5347.3270056882502</v>
      </c>
      <c r="J119" s="54">
        <f t="shared" si="39"/>
        <v>0</v>
      </c>
      <c r="K119" s="54"/>
      <c r="L119" s="115"/>
      <c r="M119" s="54">
        <f t="shared" si="40"/>
        <v>0</v>
      </c>
      <c r="N119" s="115"/>
      <c r="O119" s="54">
        <f t="shared" si="41"/>
        <v>0</v>
      </c>
      <c r="P119" s="54">
        <f t="shared" si="42"/>
        <v>0</v>
      </c>
    </row>
    <row r="120" spans="2:16">
      <c r="B120" s="7" t="str">
        <f t="shared" si="43"/>
        <v/>
      </c>
      <c r="C120" s="50">
        <f>IF(D93="","-",+C119+1)</f>
        <v>2027</v>
      </c>
      <c r="D120" s="12">
        <f>IF(F119+SUM(E$99:E119)=D$92,F119,D$92-SUM(E$99:E119))</f>
        <v>31262</v>
      </c>
      <c r="E120" s="355">
        <f>IF(+J96&lt;F119,J96,D120)</f>
        <v>1517</v>
      </c>
      <c r="F120" s="55">
        <f t="shared" si="74"/>
        <v>29745</v>
      </c>
      <c r="G120" s="55">
        <f t="shared" si="75"/>
        <v>30503.5</v>
      </c>
      <c r="H120" s="355">
        <f t="shared" si="76"/>
        <v>5165.8618172112101</v>
      </c>
      <c r="I120" s="381">
        <f t="shared" si="77"/>
        <v>5165.8618172112101</v>
      </c>
      <c r="J120" s="54">
        <f t="shared" si="39"/>
        <v>0</v>
      </c>
      <c r="K120" s="54"/>
      <c r="L120" s="115"/>
      <c r="M120" s="54">
        <f t="shared" si="40"/>
        <v>0</v>
      </c>
      <c r="N120" s="115"/>
      <c r="O120" s="54">
        <f t="shared" si="41"/>
        <v>0</v>
      </c>
      <c r="P120" s="54">
        <f t="shared" si="42"/>
        <v>0</v>
      </c>
    </row>
    <row r="121" spans="2:16">
      <c r="B121" s="7" t="str">
        <f t="shared" si="43"/>
        <v/>
      </c>
      <c r="C121" s="50">
        <f>IF(D93="","-",+C120+1)</f>
        <v>2028</v>
      </c>
      <c r="D121" s="12">
        <f>IF(F120+SUM(E$99:E120)=D$92,F120,D$92-SUM(E$99:E120))</f>
        <v>29745</v>
      </c>
      <c r="E121" s="355">
        <f>IF(+J96&lt;F120,J96,D121)</f>
        <v>1517</v>
      </c>
      <c r="F121" s="55">
        <f t="shared" si="74"/>
        <v>28228</v>
      </c>
      <c r="G121" s="55">
        <f t="shared" si="75"/>
        <v>28986.5</v>
      </c>
      <c r="H121" s="355">
        <f t="shared" si="76"/>
        <v>4984.39662873417</v>
      </c>
      <c r="I121" s="381">
        <f t="shared" si="77"/>
        <v>4984.39662873417</v>
      </c>
      <c r="J121" s="54">
        <f t="shared" si="39"/>
        <v>0</v>
      </c>
      <c r="K121" s="54"/>
      <c r="L121" s="115"/>
      <c r="M121" s="54">
        <f t="shared" si="40"/>
        <v>0</v>
      </c>
      <c r="N121" s="115"/>
      <c r="O121" s="54">
        <f t="shared" si="41"/>
        <v>0</v>
      </c>
      <c r="P121" s="54">
        <f t="shared" si="42"/>
        <v>0</v>
      </c>
    </row>
    <row r="122" spans="2:16">
      <c r="B122" s="7" t="str">
        <f t="shared" si="43"/>
        <v/>
      </c>
      <c r="C122" s="50">
        <f>IF(D93="","-",+C121+1)</f>
        <v>2029</v>
      </c>
      <c r="D122" s="12">
        <f>IF(F121+SUM(E$99:E121)=D$92,F121,D$92-SUM(E$99:E121))</f>
        <v>28228</v>
      </c>
      <c r="E122" s="355">
        <f>IF(+J96&lt;F121,J96,D122)</f>
        <v>1517</v>
      </c>
      <c r="F122" s="55">
        <f t="shared" si="74"/>
        <v>26711</v>
      </c>
      <c r="G122" s="55">
        <f t="shared" si="75"/>
        <v>27469.5</v>
      </c>
      <c r="H122" s="355">
        <f t="shared" si="76"/>
        <v>4802.931440257129</v>
      </c>
      <c r="I122" s="381">
        <f t="shared" si="77"/>
        <v>4802.931440257129</v>
      </c>
      <c r="J122" s="54">
        <f t="shared" si="39"/>
        <v>0</v>
      </c>
      <c r="K122" s="54"/>
      <c r="L122" s="115"/>
      <c r="M122" s="54">
        <f t="shared" si="40"/>
        <v>0</v>
      </c>
      <c r="N122" s="115"/>
      <c r="O122" s="54">
        <f t="shared" si="41"/>
        <v>0</v>
      </c>
      <c r="P122" s="54">
        <f t="shared" si="42"/>
        <v>0</v>
      </c>
    </row>
    <row r="123" spans="2:16">
      <c r="B123" s="7" t="str">
        <f t="shared" si="43"/>
        <v/>
      </c>
      <c r="C123" s="50">
        <f>IF(D93="","-",+C122+1)</f>
        <v>2030</v>
      </c>
      <c r="D123" s="12">
        <f>IF(F122+SUM(E$99:E122)=D$92,F122,D$92-SUM(E$99:E122))</f>
        <v>26711</v>
      </c>
      <c r="E123" s="355">
        <f>IF(+J96&lt;F122,J96,D123)</f>
        <v>1517</v>
      </c>
      <c r="F123" s="55">
        <f t="shared" si="74"/>
        <v>25194</v>
      </c>
      <c r="G123" s="55">
        <f t="shared" si="75"/>
        <v>25952.5</v>
      </c>
      <c r="H123" s="355">
        <f t="shared" si="76"/>
        <v>4621.466251780088</v>
      </c>
      <c r="I123" s="381">
        <f t="shared" si="77"/>
        <v>4621.466251780088</v>
      </c>
      <c r="J123" s="54">
        <f t="shared" si="39"/>
        <v>0</v>
      </c>
      <c r="K123" s="54"/>
      <c r="L123" s="115"/>
      <c r="M123" s="54">
        <f t="shared" si="40"/>
        <v>0</v>
      </c>
      <c r="N123" s="115"/>
      <c r="O123" s="54">
        <f t="shared" si="41"/>
        <v>0</v>
      </c>
      <c r="P123" s="54">
        <f t="shared" si="42"/>
        <v>0</v>
      </c>
    </row>
    <row r="124" spans="2:16">
      <c r="B124" s="7" t="str">
        <f t="shared" si="43"/>
        <v/>
      </c>
      <c r="C124" s="50">
        <f>IF(D93="","-",+C123+1)</f>
        <v>2031</v>
      </c>
      <c r="D124" s="12">
        <f>IF(F123+SUM(E$99:E123)=D$92,F123,D$92-SUM(E$99:E123))</f>
        <v>25194</v>
      </c>
      <c r="E124" s="355">
        <f>IF(+J96&lt;F123,J96,D124)</f>
        <v>1517</v>
      </c>
      <c r="F124" s="55">
        <f t="shared" si="74"/>
        <v>23677</v>
      </c>
      <c r="G124" s="55">
        <f t="shared" si="75"/>
        <v>24435.5</v>
      </c>
      <c r="H124" s="355">
        <f t="shared" si="76"/>
        <v>4440.0010633030479</v>
      </c>
      <c r="I124" s="381">
        <f t="shared" si="77"/>
        <v>4440.0010633030479</v>
      </c>
      <c r="J124" s="54">
        <f t="shared" si="39"/>
        <v>0</v>
      </c>
      <c r="K124" s="54"/>
      <c r="L124" s="115"/>
      <c r="M124" s="54">
        <f t="shared" si="40"/>
        <v>0</v>
      </c>
      <c r="N124" s="115"/>
      <c r="O124" s="54">
        <f t="shared" si="41"/>
        <v>0</v>
      </c>
      <c r="P124" s="54">
        <f t="shared" si="42"/>
        <v>0</v>
      </c>
    </row>
    <row r="125" spans="2:16">
      <c r="B125" s="7" t="str">
        <f t="shared" si="43"/>
        <v/>
      </c>
      <c r="C125" s="50">
        <f>IF(D93="","-",+C124+1)</f>
        <v>2032</v>
      </c>
      <c r="D125" s="12">
        <f>IF(F124+SUM(E$99:E124)=D$92,F124,D$92-SUM(E$99:E124))</f>
        <v>23677</v>
      </c>
      <c r="E125" s="355">
        <f>IF(+J96&lt;F124,J96,D125)</f>
        <v>1517</v>
      </c>
      <c r="F125" s="55">
        <f t="shared" si="74"/>
        <v>22160</v>
      </c>
      <c r="G125" s="55">
        <f t="shared" si="75"/>
        <v>22918.5</v>
      </c>
      <c r="H125" s="355">
        <f t="shared" si="76"/>
        <v>4258.5358748260078</v>
      </c>
      <c r="I125" s="381">
        <f t="shared" si="77"/>
        <v>4258.5358748260078</v>
      </c>
      <c r="J125" s="54">
        <f t="shared" si="39"/>
        <v>0</v>
      </c>
      <c r="K125" s="54"/>
      <c r="L125" s="115"/>
      <c r="M125" s="54">
        <f t="shared" si="40"/>
        <v>0</v>
      </c>
      <c r="N125" s="115"/>
      <c r="O125" s="54">
        <f t="shared" si="41"/>
        <v>0</v>
      </c>
      <c r="P125" s="54">
        <f t="shared" si="42"/>
        <v>0</v>
      </c>
    </row>
    <row r="126" spans="2:16">
      <c r="B126" s="7" t="str">
        <f t="shared" si="43"/>
        <v/>
      </c>
      <c r="C126" s="50">
        <f>IF(D93="","-",+C125+1)</f>
        <v>2033</v>
      </c>
      <c r="D126" s="12">
        <f>IF(F125+SUM(E$99:E125)=D$92,F125,D$92-SUM(E$99:E125))</f>
        <v>22160</v>
      </c>
      <c r="E126" s="355">
        <f>IF(+J96&lt;F125,J96,D126)</f>
        <v>1517</v>
      </c>
      <c r="F126" s="55">
        <f t="shared" si="74"/>
        <v>20643</v>
      </c>
      <c r="G126" s="55">
        <f t="shared" si="75"/>
        <v>21401.5</v>
      </c>
      <c r="H126" s="355">
        <f t="shared" si="76"/>
        <v>4077.0706863489668</v>
      </c>
      <c r="I126" s="381">
        <f t="shared" si="77"/>
        <v>4077.0706863489668</v>
      </c>
      <c r="J126" s="54">
        <f t="shared" si="39"/>
        <v>0</v>
      </c>
      <c r="K126" s="54"/>
      <c r="L126" s="115"/>
      <c r="M126" s="54">
        <f t="shared" si="40"/>
        <v>0</v>
      </c>
      <c r="N126" s="115"/>
      <c r="O126" s="54">
        <f t="shared" si="41"/>
        <v>0</v>
      </c>
      <c r="P126" s="54">
        <f t="shared" si="42"/>
        <v>0</v>
      </c>
    </row>
    <row r="127" spans="2:16">
      <c r="B127" s="7" t="str">
        <f t="shared" si="43"/>
        <v/>
      </c>
      <c r="C127" s="50">
        <f>IF(D93="","-",+C126+1)</f>
        <v>2034</v>
      </c>
      <c r="D127" s="12">
        <f>IF(F126+SUM(E$99:E126)=D$92,F126,D$92-SUM(E$99:E126))</f>
        <v>20643</v>
      </c>
      <c r="E127" s="355">
        <f>IF(+J96&lt;F126,J96,D127)</f>
        <v>1517</v>
      </c>
      <c r="F127" s="55">
        <f t="shared" si="74"/>
        <v>19126</v>
      </c>
      <c r="G127" s="55">
        <f t="shared" si="75"/>
        <v>19884.5</v>
      </c>
      <c r="H127" s="355">
        <f t="shared" si="76"/>
        <v>3895.6054978719267</v>
      </c>
      <c r="I127" s="381">
        <f t="shared" si="77"/>
        <v>3895.6054978719267</v>
      </c>
      <c r="J127" s="54">
        <f t="shared" si="39"/>
        <v>0</v>
      </c>
      <c r="K127" s="54"/>
      <c r="L127" s="115"/>
      <c r="M127" s="54">
        <f t="shared" si="40"/>
        <v>0</v>
      </c>
      <c r="N127" s="115"/>
      <c r="O127" s="54">
        <f t="shared" si="41"/>
        <v>0</v>
      </c>
      <c r="P127" s="54">
        <f t="shared" si="42"/>
        <v>0</v>
      </c>
    </row>
    <row r="128" spans="2:16">
      <c r="B128" s="7" t="str">
        <f t="shared" si="43"/>
        <v/>
      </c>
      <c r="C128" s="50">
        <f>IF(D93="","-",+C127+1)</f>
        <v>2035</v>
      </c>
      <c r="D128" s="12">
        <f>IF(F127+SUM(E$99:E127)=D$92,F127,D$92-SUM(E$99:E127))</f>
        <v>19126</v>
      </c>
      <c r="E128" s="355">
        <f>IF(+J96&lt;F127,J96,D128)</f>
        <v>1517</v>
      </c>
      <c r="F128" s="55">
        <f t="shared" si="74"/>
        <v>17609</v>
      </c>
      <c r="G128" s="55">
        <f t="shared" si="75"/>
        <v>18367.5</v>
      </c>
      <c r="H128" s="355">
        <f t="shared" si="76"/>
        <v>3714.1403093948861</v>
      </c>
      <c r="I128" s="381">
        <f t="shared" si="77"/>
        <v>3714.1403093948861</v>
      </c>
      <c r="J128" s="54">
        <f t="shared" si="39"/>
        <v>0</v>
      </c>
      <c r="K128" s="54"/>
      <c r="L128" s="115"/>
      <c r="M128" s="54">
        <f t="shared" si="40"/>
        <v>0</v>
      </c>
      <c r="N128" s="115"/>
      <c r="O128" s="54">
        <f t="shared" si="41"/>
        <v>0</v>
      </c>
      <c r="P128" s="54">
        <f t="shared" si="42"/>
        <v>0</v>
      </c>
    </row>
    <row r="129" spans="2:16">
      <c r="B129" s="7" t="str">
        <f t="shared" si="43"/>
        <v/>
      </c>
      <c r="C129" s="50">
        <f>IF(D93="","-",+C128+1)</f>
        <v>2036</v>
      </c>
      <c r="D129" s="12">
        <f>IF(F128+SUM(E$99:E128)=D$92,F128,D$92-SUM(E$99:E128))</f>
        <v>17609</v>
      </c>
      <c r="E129" s="355">
        <f>IF(+J96&lt;F128,J96,D129)</f>
        <v>1517</v>
      </c>
      <c r="F129" s="55">
        <f t="shared" si="74"/>
        <v>16092</v>
      </c>
      <c r="G129" s="55">
        <f t="shared" si="75"/>
        <v>16850.5</v>
      </c>
      <c r="H129" s="355">
        <f t="shared" si="76"/>
        <v>3532.6751209178456</v>
      </c>
      <c r="I129" s="381">
        <f t="shared" si="77"/>
        <v>3532.6751209178456</v>
      </c>
      <c r="J129" s="54">
        <f t="shared" si="39"/>
        <v>0</v>
      </c>
      <c r="K129" s="54"/>
      <c r="L129" s="115"/>
      <c r="M129" s="54">
        <f t="shared" si="40"/>
        <v>0</v>
      </c>
      <c r="N129" s="115"/>
      <c r="O129" s="54">
        <f t="shared" si="41"/>
        <v>0</v>
      </c>
      <c r="P129" s="54">
        <f t="shared" si="42"/>
        <v>0</v>
      </c>
    </row>
    <row r="130" spans="2:16">
      <c r="B130" s="7" t="str">
        <f t="shared" si="43"/>
        <v/>
      </c>
      <c r="C130" s="50">
        <f>IF(D93="","-",+C129+1)</f>
        <v>2037</v>
      </c>
      <c r="D130" s="12">
        <f>IF(F129+SUM(E$99:E129)=D$92,F129,D$92-SUM(E$99:E129))</f>
        <v>16092</v>
      </c>
      <c r="E130" s="355">
        <f>IF(+J96&lt;F129,J96,D130)</f>
        <v>1517</v>
      </c>
      <c r="F130" s="55">
        <f t="shared" si="74"/>
        <v>14575</v>
      </c>
      <c r="G130" s="55">
        <f t="shared" si="75"/>
        <v>15333.5</v>
      </c>
      <c r="H130" s="355">
        <f t="shared" si="76"/>
        <v>3351.2099324408046</v>
      </c>
      <c r="I130" s="381">
        <f t="shared" si="77"/>
        <v>3351.2099324408046</v>
      </c>
      <c r="J130" s="54">
        <f t="shared" si="39"/>
        <v>0</v>
      </c>
      <c r="K130" s="54"/>
      <c r="L130" s="115"/>
      <c r="M130" s="54">
        <f t="shared" si="40"/>
        <v>0</v>
      </c>
      <c r="N130" s="115"/>
      <c r="O130" s="54">
        <f t="shared" si="41"/>
        <v>0</v>
      </c>
      <c r="P130" s="54">
        <f t="shared" si="42"/>
        <v>0</v>
      </c>
    </row>
    <row r="131" spans="2:16">
      <c r="B131" s="7" t="str">
        <f t="shared" si="43"/>
        <v/>
      </c>
      <c r="C131" s="50">
        <f>IF(D93="","-",+C130+1)</f>
        <v>2038</v>
      </c>
      <c r="D131" s="12">
        <f>IF(F130+SUM(E$99:E130)=D$92,F130,D$92-SUM(E$99:E130))</f>
        <v>14575</v>
      </c>
      <c r="E131" s="355">
        <f>IF(+J96&lt;F130,J96,D131)</f>
        <v>1517</v>
      </c>
      <c r="F131" s="55">
        <f t="shared" ref="F131:F154" si="78">+D131-E131</f>
        <v>13058</v>
      </c>
      <c r="G131" s="55">
        <f t="shared" ref="G131:G154" si="79">+(F131+D131)/2</f>
        <v>13816.5</v>
      </c>
      <c r="H131" s="355">
        <f t="shared" si="76"/>
        <v>3169.7447439637644</v>
      </c>
      <c r="I131" s="381">
        <f t="shared" si="77"/>
        <v>3169.7447439637644</v>
      </c>
      <c r="J131" s="54">
        <f t="shared" ref="J131:J154" si="80">+I131-H131</f>
        <v>0</v>
      </c>
      <c r="K131" s="54"/>
      <c r="L131" s="115"/>
      <c r="M131" s="54">
        <f t="shared" ref="M131:M154" si="81">IF(L131&lt;&gt;0,+H131-L131,0)</f>
        <v>0</v>
      </c>
      <c r="N131" s="115"/>
      <c r="O131" s="54">
        <f t="shared" ref="O131:O154" si="82">IF(N131&lt;&gt;0,+I131-N131,0)</f>
        <v>0</v>
      </c>
      <c r="P131" s="54">
        <f t="shared" ref="P131:P154" si="83">+O131-M131</f>
        <v>0</v>
      </c>
    </row>
    <row r="132" spans="2:16">
      <c r="B132" s="7" t="str">
        <f t="shared" si="43"/>
        <v/>
      </c>
      <c r="C132" s="50">
        <f>IF(D93="","-",+C131+1)</f>
        <v>2039</v>
      </c>
      <c r="D132" s="12">
        <f>IF(F131+SUM(E$99:E131)=D$92,F131,D$92-SUM(E$99:E131))</f>
        <v>13058</v>
      </c>
      <c r="E132" s="355">
        <f>IF(+J96&lt;F131,J96,D132)</f>
        <v>1517</v>
      </c>
      <c r="F132" s="55">
        <f t="shared" si="78"/>
        <v>11541</v>
      </c>
      <c r="G132" s="55">
        <f t="shared" si="79"/>
        <v>12299.5</v>
      </c>
      <c r="H132" s="355">
        <f t="shared" si="76"/>
        <v>2988.2795554867239</v>
      </c>
      <c r="I132" s="381">
        <f t="shared" si="77"/>
        <v>2988.2795554867239</v>
      </c>
      <c r="J132" s="54">
        <f t="shared" si="80"/>
        <v>0</v>
      </c>
      <c r="K132" s="54"/>
      <c r="L132" s="115"/>
      <c r="M132" s="54">
        <f t="shared" si="81"/>
        <v>0</v>
      </c>
      <c r="N132" s="115"/>
      <c r="O132" s="54">
        <f t="shared" si="82"/>
        <v>0</v>
      </c>
      <c r="P132" s="54">
        <f t="shared" si="83"/>
        <v>0</v>
      </c>
    </row>
    <row r="133" spans="2:16">
      <c r="B133" s="7" t="str">
        <f t="shared" si="43"/>
        <v/>
      </c>
      <c r="C133" s="50">
        <f>IF(D93="","-",+C132+1)</f>
        <v>2040</v>
      </c>
      <c r="D133" s="12">
        <f>IF(F132+SUM(E$99:E132)=D$92,F132,D$92-SUM(E$99:E132))</f>
        <v>11541</v>
      </c>
      <c r="E133" s="355">
        <f>IF(+J96&lt;F132,J96,D133)</f>
        <v>1517</v>
      </c>
      <c r="F133" s="55">
        <f t="shared" si="78"/>
        <v>10024</v>
      </c>
      <c r="G133" s="55">
        <f t="shared" si="79"/>
        <v>10782.5</v>
      </c>
      <c r="H133" s="355">
        <f t="shared" si="76"/>
        <v>2806.8143670096833</v>
      </c>
      <c r="I133" s="381">
        <f t="shared" si="77"/>
        <v>2806.8143670096833</v>
      </c>
      <c r="J133" s="54">
        <f t="shared" si="80"/>
        <v>0</v>
      </c>
      <c r="K133" s="54"/>
      <c r="L133" s="115"/>
      <c r="M133" s="54">
        <f t="shared" si="81"/>
        <v>0</v>
      </c>
      <c r="N133" s="115"/>
      <c r="O133" s="54">
        <f t="shared" si="82"/>
        <v>0</v>
      </c>
      <c r="P133" s="54">
        <f t="shared" si="83"/>
        <v>0</v>
      </c>
    </row>
    <row r="134" spans="2:16">
      <c r="B134" s="7" t="str">
        <f t="shared" si="43"/>
        <v/>
      </c>
      <c r="C134" s="50">
        <f>IF(D93="","-",+C133+1)</f>
        <v>2041</v>
      </c>
      <c r="D134" s="12">
        <f>IF(F133+SUM(E$99:E133)=D$92,F133,D$92-SUM(E$99:E133))</f>
        <v>10024</v>
      </c>
      <c r="E134" s="355">
        <f>IF(+J96&lt;F133,J96,D134)</f>
        <v>1517</v>
      </c>
      <c r="F134" s="55">
        <f t="shared" si="78"/>
        <v>8507</v>
      </c>
      <c r="G134" s="55">
        <f t="shared" si="79"/>
        <v>9265.5</v>
      </c>
      <c r="H134" s="355">
        <f t="shared" si="76"/>
        <v>2625.3491785326428</v>
      </c>
      <c r="I134" s="381">
        <f t="shared" si="77"/>
        <v>2625.3491785326428</v>
      </c>
      <c r="J134" s="54">
        <f t="shared" si="80"/>
        <v>0</v>
      </c>
      <c r="K134" s="54"/>
      <c r="L134" s="115"/>
      <c r="M134" s="54">
        <f t="shared" si="81"/>
        <v>0</v>
      </c>
      <c r="N134" s="115"/>
      <c r="O134" s="54">
        <f t="shared" si="82"/>
        <v>0</v>
      </c>
      <c r="P134" s="54">
        <f t="shared" si="83"/>
        <v>0</v>
      </c>
    </row>
    <row r="135" spans="2:16">
      <c r="B135" s="7" t="str">
        <f t="shared" si="43"/>
        <v/>
      </c>
      <c r="C135" s="50">
        <f>IF(D93="","-",+C134+1)</f>
        <v>2042</v>
      </c>
      <c r="D135" s="12">
        <f>IF(F134+SUM(E$99:E134)=D$92,F134,D$92-SUM(E$99:E134))</f>
        <v>8507</v>
      </c>
      <c r="E135" s="355">
        <f>IF(+J96&lt;F134,J96,D135)</f>
        <v>1517</v>
      </c>
      <c r="F135" s="55">
        <f t="shared" si="78"/>
        <v>6990</v>
      </c>
      <c r="G135" s="55">
        <f t="shared" si="79"/>
        <v>7748.5</v>
      </c>
      <c r="H135" s="355">
        <f t="shared" si="76"/>
        <v>2443.8839900556022</v>
      </c>
      <c r="I135" s="381">
        <f t="shared" si="77"/>
        <v>2443.8839900556022</v>
      </c>
      <c r="J135" s="54">
        <f t="shared" si="80"/>
        <v>0</v>
      </c>
      <c r="K135" s="54"/>
      <c r="L135" s="115"/>
      <c r="M135" s="54">
        <f t="shared" si="81"/>
        <v>0</v>
      </c>
      <c r="N135" s="115"/>
      <c r="O135" s="54">
        <f t="shared" si="82"/>
        <v>0</v>
      </c>
      <c r="P135" s="54">
        <f t="shared" si="83"/>
        <v>0</v>
      </c>
    </row>
    <row r="136" spans="2:16">
      <c r="B136" s="7" t="str">
        <f t="shared" si="43"/>
        <v/>
      </c>
      <c r="C136" s="50">
        <f>IF(D93="","-",+C135+1)</f>
        <v>2043</v>
      </c>
      <c r="D136" s="12">
        <f>IF(F135+SUM(E$99:E135)=D$92,F135,D$92-SUM(E$99:E135))</f>
        <v>6990</v>
      </c>
      <c r="E136" s="355">
        <f>IF(+J96&lt;F135,J96,D136)</f>
        <v>1517</v>
      </c>
      <c r="F136" s="55">
        <f t="shared" si="78"/>
        <v>5473</v>
      </c>
      <c r="G136" s="55">
        <f t="shared" si="79"/>
        <v>6231.5</v>
      </c>
      <c r="H136" s="355">
        <f t="shared" si="76"/>
        <v>2262.4188015785617</v>
      </c>
      <c r="I136" s="381">
        <f t="shared" si="77"/>
        <v>2262.4188015785617</v>
      </c>
      <c r="J136" s="54">
        <f t="shared" si="80"/>
        <v>0</v>
      </c>
      <c r="K136" s="54"/>
      <c r="L136" s="115"/>
      <c r="M136" s="54">
        <f t="shared" si="81"/>
        <v>0</v>
      </c>
      <c r="N136" s="115"/>
      <c r="O136" s="54">
        <f t="shared" si="82"/>
        <v>0</v>
      </c>
      <c r="P136" s="54">
        <f t="shared" si="83"/>
        <v>0</v>
      </c>
    </row>
    <row r="137" spans="2:16">
      <c r="B137" s="7" t="str">
        <f t="shared" si="43"/>
        <v/>
      </c>
      <c r="C137" s="50">
        <f>IF(D93="","-",+C136+1)</f>
        <v>2044</v>
      </c>
      <c r="D137" s="12">
        <f>IF(F136+SUM(E$99:E136)=D$92,F136,D$92-SUM(E$99:E136))</f>
        <v>5473</v>
      </c>
      <c r="E137" s="355">
        <f>IF(+J96&lt;F136,J96,D137)</f>
        <v>1517</v>
      </c>
      <c r="F137" s="55">
        <f t="shared" si="78"/>
        <v>3956</v>
      </c>
      <c r="G137" s="55">
        <f t="shared" si="79"/>
        <v>4714.5</v>
      </c>
      <c r="H137" s="355">
        <f t="shared" si="76"/>
        <v>2080.9536131015211</v>
      </c>
      <c r="I137" s="381">
        <f t="shared" si="77"/>
        <v>2080.9536131015211</v>
      </c>
      <c r="J137" s="54">
        <f t="shared" si="80"/>
        <v>0</v>
      </c>
      <c r="K137" s="54"/>
      <c r="L137" s="115"/>
      <c r="M137" s="54">
        <f t="shared" si="81"/>
        <v>0</v>
      </c>
      <c r="N137" s="115"/>
      <c r="O137" s="54">
        <f t="shared" si="82"/>
        <v>0</v>
      </c>
      <c r="P137" s="54">
        <f t="shared" si="83"/>
        <v>0</v>
      </c>
    </row>
    <row r="138" spans="2:16">
      <c r="B138" s="7" t="str">
        <f t="shared" si="43"/>
        <v/>
      </c>
      <c r="C138" s="50">
        <f>IF(D93="","-",+C137+1)</f>
        <v>2045</v>
      </c>
      <c r="D138" s="12">
        <f>IF(F137+SUM(E$99:E137)=D$92,F137,D$92-SUM(E$99:E137))</f>
        <v>3956</v>
      </c>
      <c r="E138" s="355">
        <f>IF(+J96&lt;F137,J96,D138)</f>
        <v>1517</v>
      </c>
      <c r="F138" s="55">
        <f t="shared" si="78"/>
        <v>2439</v>
      </c>
      <c r="G138" s="55">
        <f t="shared" si="79"/>
        <v>3197.5</v>
      </c>
      <c r="H138" s="355">
        <f t="shared" si="76"/>
        <v>1899.4884246244806</v>
      </c>
      <c r="I138" s="381">
        <f t="shared" si="77"/>
        <v>1899.4884246244806</v>
      </c>
      <c r="J138" s="54">
        <f t="shared" si="80"/>
        <v>0</v>
      </c>
      <c r="K138" s="54"/>
      <c r="L138" s="115"/>
      <c r="M138" s="54">
        <f t="shared" si="81"/>
        <v>0</v>
      </c>
      <c r="N138" s="115"/>
      <c r="O138" s="54">
        <f t="shared" si="82"/>
        <v>0</v>
      </c>
      <c r="P138" s="54">
        <f t="shared" si="83"/>
        <v>0</v>
      </c>
    </row>
    <row r="139" spans="2:16">
      <c r="B139" s="7" t="str">
        <f t="shared" si="43"/>
        <v/>
      </c>
      <c r="C139" s="50">
        <f>IF(D93="","-",+C138+1)</f>
        <v>2046</v>
      </c>
      <c r="D139" s="12">
        <f>IF(F138+SUM(E$99:E138)=D$92,F138,D$92-SUM(E$99:E138))</f>
        <v>2439</v>
      </c>
      <c r="E139" s="355">
        <f>IF(+J96&lt;F138,J96,D139)</f>
        <v>1517</v>
      </c>
      <c r="F139" s="55">
        <f t="shared" si="78"/>
        <v>922</v>
      </c>
      <c r="G139" s="55">
        <f t="shared" si="79"/>
        <v>1680.5</v>
      </c>
      <c r="H139" s="355">
        <f t="shared" si="76"/>
        <v>1718.02323614744</v>
      </c>
      <c r="I139" s="381">
        <f t="shared" si="77"/>
        <v>1718.02323614744</v>
      </c>
      <c r="J139" s="54">
        <f t="shared" si="80"/>
        <v>0</v>
      </c>
      <c r="K139" s="54"/>
      <c r="L139" s="115"/>
      <c r="M139" s="54">
        <f t="shared" si="81"/>
        <v>0</v>
      </c>
      <c r="N139" s="115"/>
      <c r="O139" s="54">
        <f t="shared" si="82"/>
        <v>0</v>
      </c>
      <c r="P139" s="54">
        <f t="shared" si="83"/>
        <v>0</v>
      </c>
    </row>
    <row r="140" spans="2:16">
      <c r="B140" s="7" t="str">
        <f t="shared" si="43"/>
        <v/>
      </c>
      <c r="C140" s="50">
        <f>IF(D93="","-",+C139+1)</f>
        <v>2047</v>
      </c>
      <c r="D140" s="12">
        <f>IF(F139+SUM(E$99:E139)=D$92,F139,D$92-SUM(E$99:E139))</f>
        <v>922</v>
      </c>
      <c r="E140" s="355">
        <f>IF(+J96&lt;F139,J96,D140)</f>
        <v>922</v>
      </c>
      <c r="F140" s="55">
        <f t="shared" si="78"/>
        <v>0</v>
      </c>
      <c r="G140" s="55">
        <f t="shared" si="79"/>
        <v>461</v>
      </c>
      <c r="H140" s="355">
        <f t="shared" si="76"/>
        <v>977.14532095445986</v>
      </c>
      <c r="I140" s="381">
        <f t="shared" si="77"/>
        <v>977.14532095445986</v>
      </c>
      <c r="J140" s="54">
        <f t="shared" si="80"/>
        <v>0</v>
      </c>
      <c r="K140" s="54"/>
      <c r="L140" s="115"/>
      <c r="M140" s="54">
        <f t="shared" si="81"/>
        <v>0</v>
      </c>
      <c r="N140" s="115"/>
      <c r="O140" s="54">
        <f t="shared" si="82"/>
        <v>0</v>
      </c>
      <c r="P140" s="54">
        <f t="shared" si="83"/>
        <v>0</v>
      </c>
    </row>
    <row r="141" spans="2:16">
      <c r="B141" s="7" t="str">
        <f t="shared" si="43"/>
        <v/>
      </c>
      <c r="C141" s="50">
        <f>IF(D93="","-",+C140+1)</f>
        <v>2048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8"/>
        <v>0</v>
      </c>
      <c r="G141" s="55">
        <f t="shared" si="79"/>
        <v>0</v>
      </c>
      <c r="H141" s="355">
        <f t="shared" si="76"/>
        <v>0</v>
      </c>
      <c r="I141" s="381">
        <f t="shared" si="77"/>
        <v>0</v>
      </c>
      <c r="J141" s="54">
        <f t="shared" si="80"/>
        <v>0</v>
      </c>
      <c r="K141" s="54"/>
      <c r="L141" s="115"/>
      <c r="M141" s="54">
        <f t="shared" si="81"/>
        <v>0</v>
      </c>
      <c r="N141" s="115"/>
      <c r="O141" s="54">
        <f t="shared" si="82"/>
        <v>0</v>
      </c>
      <c r="P141" s="54">
        <f t="shared" si="83"/>
        <v>0</v>
      </c>
    </row>
    <row r="142" spans="2:16">
      <c r="B142" s="7" t="str">
        <f t="shared" si="43"/>
        <v/>
      </c>
      <c r="C142" s="50">
        <f>IF(D93="","-",+C141+1)</f>
        <v>2049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8"/>
        <v>0</v>
      </c>
      <c r="G142" s="55">
        <f t="shared" si="79"/>
        <v>0</v>
      </c>
      <c r="H142" s="355">
        <f t="shared" si="76"/>
        <v>0</v>
      </c>
      <c r="I142" s="381">
        <f t="shared" si="77"/>
        <v>0</v>
      </c>
      <c r="J142" s="54">
        <f t="shared" si="80"/>
        <v>0</v>
      </c>
      <c r="K142" s="54"/>
      <c r="L142" s="115"/>
      <c r="M142" s="54">
        <f t="shared" si="81"/>
        <v>0</v>
      </c>
      <c r="N142" s="115"/>
      <c r="O142" s="54">
        <f t="shared" si="82"/>
        <v>0</v>
      </c>
      <c r="P142" s="54">
        <f t="shared" si="83"/>
        <v>0</v>
      </c>
    </row>
    <row r="143" spans="2:16">
      <c r="B143" s="7" t="str">
        <f t="shared" si="43"/>
        <v/>
      </c>
      <c r="C143" s="50">
        <f>IF(D93="","-",+C142+1)</f>
        <v>2050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8"/>
        <v>0</v>
      </c>
      <c r="G143" s="55">
        <f t="shared" si="79"/>
        <v>0</v>
      </c>
      <c r="H143" s="355">
        <f t="shared" si="76"/>
        <v>0</v>
      </c>
      <c r="I143" s="381">
        <f t="shared" si="77"/>
        <v>0</v>
      </c>
      <c r="J143" s="54">
        <f t="shared" si="80"/>
        <v>0</v>
      </c>
      <c r="K143" s="54"/>
      <c r="L143" s="115"/>
      <c r="M143" s="54">
        <f t="shared" si="81"/>
        <v>0</v>
      </c>
      <c r="N143" s="115"/>
      <c r="O143" s="54">
        <f t="shared" si="82"/>
        <v>0</v>
      </c>
      <c r="P143" s="54">
        <f t="shared" si="83"/>
        <v>0</v>
      </c>
    </row>
    <row r="144" spans="2:16">
      <c r="B144" s="7" t="str">
        <f t="shared" si="43"/>
        <v/>
      </c>
      <c r="C144" s="50">
        <f>IF(D93="","-",+C143+1)</f>
        <v>2051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8"/>
        <v>0</v>
      </c>
      <c r="G144" s="55">
        <f t="shared" si="79"/>
        <v>0</v>
      </c>
      <c r="H144" s="355">
        <f t="shared" si="76"/>
        <v>0</v>
      </c>
      <c r="I144" s="381">
        <f t="shared" si="77"/>
        <v>0</v>
      </c>
      <c r="J144" s="54">
        <f t="shared" si="80"/>
        <v>0</v>
      </c>
      <c r="K144" s="54"/>
      <c r="L144" s="115"/>
      <c r="M144" s="54">
        <f t="shared" si="81"/>
        <v>0</v>
      </c>
      <c r="N144" s="115"/>
      <c r="O144" s="54">
        <f t="shared" si="82"/>
        <v>0</v>
      </c>
      <c r="P144" s="54">
        <f t="shared" si="83"/>
        <v>0</v>
      </c>
    </row>
    <row r="145" spans="2:16">
      <c r="B145" s="7" t="str">
        <f t="shared" si="43"/>
        <v/>
      </c>
      <c r="C145" s="50">
        <f>IF(D93="","-",+C144+1)</f>
        <v>2052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8"/>
        <v>0</v>
      </c>
      <c r="G145" s="55">
        <f t="shared" si="79"/>
        <v>0</v>
      </c>
      <c r="H145" s="355">
        <f t="shared" si="76"/>
        <v>0</v>
      </c>
      <c r="I145" s="381">
        <f t="shared" si="77"/>
        <v>0</v>
      </c>
      <c r="J145" s="54">
        <f t="shared" si="80"/>
        <v>0</v>
      </c>
      <c r="K145" s="54"/>
      <c r="L145" s="115"/>
      <c r="M145" s="54">
        <f t="shared" si="81"/>
        <v>0</v>
      </c>
      <c r="N145" s="115"/>
      <c r="O145" s="54">
        <f t="shared" si="82"/>
        <v>0</v>
      </c>
      <c r="P145" s="54">
        <f t="shared" si="83"/>
        <v>0</v>
      </c>
    </row>
    <row r="146" spans="2:16">
      <c r="B146" s="7" t="str">
        <f t="shared" si="43"/>
        <v/>
      </c>
      <c r="C146" s="50">
        <f>IF(D93="","-",+C145+1)</f>
        <v>2053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8"/>
        <v>0</v>
      </c>
      <c r="G146" s="55">
        <f t="shared" si="79"/>
        <v>0</v>
      </c>
      <c r="H146" s="355">
        <f t="shared" si="76"/>
        <v>0</v>
      </c>
      <c r="I146" s="381">
        <f t="shared" si="77"/>
        <v>0</v>
      </c>
      <c r="J146" s="54">
        <f t="shared" si="80"/>
        <v>0</v>
      </c>
      <c r="K146" s="54"/>
      <c r="L146" s="115"/>
      <c r="M146" s="54">
        <f t="shared" si="81"/>
        <v>0</v>
      </c>
      <c r="N146" s="115"/>
      <c r="O146" s="54">
        <f t="shared" si="82"/>
        <v>0</v>
      </c>
      <c r="P146" s="54">
        <f t="shared" si="83"/>
        <v>0</v>
      </c>
    </row>
    <row r="147" spans="2:16">
      <c r="B147" s="7" t="str">
        <f t="shared" si="43"/>
        <v/>
      </c>
      <c r="C147" s="50">
        <f>IF(D93="","-",+C146+1)</f>
        <v>2054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8"/>
        <v>0</v>
      </c>
      <c r="G147" s="55">
        <f t="shared" si="79"/>
        <v>0</v>
      </c>
      <c r="H147" s="355">
        <f t="shared" si="76"/>
        <v>0</v>
      </c>
      <c r="I147" s="381">
        <f t="shared" si="77"/>
        <v>0</v>
      </c>
      <c r="J147" s="54">
        <f t="shared" si="80"/>
        <v>0</v>
      </c>
      <c r="K147" s="54"/>
      <c r="L147" s="115"/>
      <c r="M147" s="54">
        <f t="shared" si="81"/>
        <v>0</v>
      </c>
      <c r="N147" s="115"/>
      <c r="O147" s="54">
        <f t="shared" si="82"/>
        <v>0</v>
      </c>
      <c r="P147" s="54">
        <f t="shared" si="83"/>
        <v>0</v>
      </c>
    </row>
    <row r="148" spans="2:16">
      <c r="B148" s="7" t="str">
        <f t="shared" si="43"/>
        <v/>
      </c>
      <c r="C148" s="50">
        <f>IF(D93="","-",+C147+1)</f>
        <v>2055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8"/>
        <v>0</v>
      </c>
      <c r="G148" s="55">
        <f t="shared" si="79"/>
        <v>0</v>
      </c>
      <c r="H148" s="355">
        <f t="shared" si="76"/>
        <v>0</v>
      </c>
      <c r="I148" s="381">
        <f t="shared" si="77"/>
        <v>0</v>
      </c>
      <c r="J148" s="54">
        <f t="shared" si="80"/>
        <v>0</v>
      </c>
      <c r="K148" s="54"/>
      <c r="L148" s="115"/>
      <c r="M148" s="54">
        <f t="shared" si="81"/>
        <v>0</v>
      </c>
      <c r="N148" s="115"/>
      <c r="O148" s="54">
        <f t="shared" si="82"/>
        <v>0</v>
      </c>
      <c r="P148" s="54">
        <f t="shared" si="83"/>
        <v>0</v>
      </c>
    </row>
    <row r="149" spans="2:16">
      <c r="B149" s="7" t="str">
        <f t="shared" si="43"/>
        <v/>
      </c>
      <c r="C149" s="50">
        <f>IF(D93="","-",+C148+1)</f>
        <v>2056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8"/>
        <v>0</v>
      </c>
      <c r="G149" s="55">
        <f t="shared" si="79"/>
        <v>0</v>
      </c>
      <c r="H149" s="355">
        <f t="shared" si="76"/>
        <v>0</v>
      </c>
      <c r="I149" s="381">
        <f t="shared" si="77"/>
        <v>0</v>
      </c>
      <c r="J149" s="54">
        <f t="shared" si="80"/>
        <v>0</v>
      </c>
      <c r="K149" s="54"/>
      <c r="L149" s="115"/>
      <c r="M149" s="54">
        <f t="shared" si="81"/>
        <v>0</v>
      </c>
      <c r="N149" s="115"/>
      <c r="O149" s="54">
        <f t="shared" si="82"/>
        <v>0</v>
      </c>
      <c r="P149" s="54">
        <f t="shared" si="83"/>
        <v>0</v>
      </c>
    </row>
    <row r="150" spans="2:16">
      <c r="B150" s="7" t="str">
        <f t="shared" si="43"/>
        <v/>
      </c>
      <c r="C150" s="50">
        <f>IF(D93="","-",+C149+1)</f>
        <v>2057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8"/>
        <v>0</v>
      </c>
      <c r="G150" s="55">
        <f t="shared" si="79"/>
        <v>0</v>
      </c>
      <c r="H150" s="355">
        <f t="shared" si="76"/>
        <v>0</v>
      </c>
      <c r="I150" s="381">
        <f t="shared" si="77"/>
        <v>0</v>
      </c>
      <c r="J150" s="54">
        <f t="shared" si="80"/>
        <v>0</v>
      </c>
      <c r="K150" s="54"/>
      <c r="L150" s="115"/>
      <c r="M150" s="54">
        <f t="shared" si="81"/>
        <v>0</v>
      </c>
      <c r="N150" s="115"/>
      <c r="O150" s="54">
        <f t="shared" si="82"/>
        <v>0</v>
      </c>
      <c r="P150" s="54">
        <f t="shared" si="83"/>
        <v>0</v>
      </c>
    </row>
    <row r="151" spans="2:16">
      <c r="B151" s="7" t="str">
        <f t="shared" si="43"/>
        <v/>
      </c>
      <c r="C151" s="50">
        <f>IF(D93="","-",+C150+1)</f>
        <v>2058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8"/>
        <v>0</v>
      </c>
      <c r="G151" s="55">
        <f t="shared" si="79"/>
        <v>0</v>
      </c>
      <c r="H151" s="355">
        <f t="shared" si="76"/>
        <v>0</v>
      </c>
      <c r="I151" s="381">
        <f t="shared" si="77"/>
        <v>0</v>
      </c>
      <c r="J151" s="54">
        <f t="shared" si="80"/>
        <v>0</v>
      </c>
      <c r="K151" s="54"/>
      <c r="L151" s="115"/>
      <c r="M151" s="54">
        <f t="shared" si="81"/>
        <v>0</v>
      </c>
      <c r="N151" s="115"/>
      <c r="O151" s="54">
        <f t="shared" si="82"/>
        <v>0</v>
      </c>
      <c r="P151" s="54">
        <f t="shared" si="83"/>
        <v>0</v>
      </c>
    </row>
    <row r="152" spans="2:16">
      <c r="B152" s="7" t="str">
        <f t="shared" si="43"/>
        <v/>
      </c>
      <c r="C152" s="50">
        <f>IF(D93="","-",+C151+1)</f>
        <v>2059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8"/>
        <v>0</v>
      </c>
      <c r="G152" s="55">
        <f t="shared" si="79"/>
        <v>0</v>
      </c>
      <c r="H152" s="355">
        <f t="shared" si="76"/>
        <v>0</v>
      </c>
      <c r="I152" s="381">
        <f t="shared" si="77"/>
        <v>0</v>
      </c>
      <c r="J152" s="54">
        <f t="shared" si="80"/>
        <v>0</v>
      </c>
      <c r="K152" s="54"/>
      <c r="L152" s="115"/>
      <c r="M152" s="54">
        <f t="shared" si="81"/>
        <v>0</v>
      </c>
      <c r="N152" s="115"/>
      <c r="O152" s="54">
        <f t="shared" si="82"/>
        <v>0</v>
      </c>
      <c r="P152" s="54">
        <f t="shared" si="83"/>
        <v>0</v>
      </c>
    </row>
    <row r="153" spans="2:16">
      <c r="B153" s="7" t="str">
        <f t="shared" si="43"/>
        <v/>
      </c>
      <c r="C153" s="50">
        <f>IF(D93="","-",+C152+1)</f>
        <v>2060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8"/>
        <v>0</v>
      </c>
      <c r="G153" s="55">
        <f t="shared" si="79"/>
        <v>0</v>
      </c>
      <c r="H153" s="355">
        <f t="shared" si="76"/>
        <v>0</v>
      </c>
      <c r="I153" s="381">
        <f t="shared" si="77"/>
        <v>0</v>
      </c>
      <c r="J153" s="54">
        <f t="shared" si="80"/>
        <v>0</v>
      </c>
      <c r="K153" s="54"/>
      <c r="L153" s="115"/>
      <c r="M153" s="54">
        <f t="shared" si="81"/>
        <v>0</v>
      </c>
      <c r="N153" s="115"/>
      <c r="O153" s="54">
        <f t="shared" si="82"/>
        <v>0</v>
      </c>
      <c r="P153" s="54">
        <f t="shared" si="83"/>
        <v>0</v>
      </c>
    </row>
    <row r="154" spans="2:16" ht="13.5" thickBot="1">
      <c r="B154" s="7" t="str">
        <f t="shared" si="43"/>
        <v/>
      </c>
      <c r="C154" s="58">
        <f>IF(D93="","-",+C153+1)</f>
        <v>2061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8"/>
        <v>0</v>
      </c>
      <c r="G154" s="59">
        <f t="shared" si="79"/>
        <v>0</v>
      </c>
      <c r="H154" s="358">
        <f t="shared" ref="H154" si="84">+J$94*G154+E154</f>
        <v>0</v>
      </c>
      <c r="I154" s="383">
        <f t="shared" ref="I154" si="85">+J$95*G154+E154</f>
        <v>0</v>
      </c>
      <c r="J154" s="62">
        <f t="shared" si="80"/>
        <v>0</v>
      </c>
      <c r="K154" s="54"/>
      <c r="L154" s="116"/>
      <c r="M154" s="62">
        <f t="shared" si="81"/>
        <v>0</v>
      </c>
      <c r="N154" s="116"/>
      <c r="O154" s="62">
        <f t="shared" si="82"/>
        <v>0</v>
      </c>
      <c r="P154" s="62">
        <f t="shared" si="83"/>
        <v>0</v>
      </c>
    </row>
    <row r="155" spans="2:16">
      <c r="C155" s="12" t="s">
        <v>77</v>
      </c>
      <c r="D155" s="266"/>
      <c r="E155" s="266">
        <f>SUM(E99:E154)</f>
        <v>56133</v>
      </c>
      <c r="F155" s="266"/>
      <c r="G155" s="266"/>
      <c r="H155" s="266">
        <f>SUM(H99:H154)</f>
        <v>203727.55773793301</v>
      </c>
      <c r="I155" s="266">
        <f>SUM(I99:I154)</f>
        <v>203727.55773793301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9" priority="1" stopIfTrue="1" operator="equal">
      <formula>$I$10</formula>
    </cfRule>
  </conditionalFormatting>
  <conditionalFormatting sqref="C99:C154">
    <cfRule type="cellIs" dxfId="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>
    <tabColor rgb="FFC00000"/>
  </sheetPr>
  <dimension ref="A1:P162"/>
  <sheetViews>
    <sheetView zoomScaleNormal="100" zoomScaleSheetLayoutView="75" workbookViewId="0">
      <selection activeCell="D100" sqref="D10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9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6859.9803812549098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6859.9803812549098</v>
      </c>
      <c r="O6" s="1"/>
      <c r="P6" s="1"/>
    </row>
    <row r="7" spans="1:16" ht="13.5" thickBot="1">
      <c r="C7" s="26" t="s">
        <v>46</v>
      </c>
      <c r="D7" s="331" t="s">
        <v>216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88</v>
      </c>
      <c r="E9" s="74" t="s">
        <v>373</v>
      </c>
      <c r="F9" s="514">
        <v>46</v>
      </c>
      <c r="G9" s="32"/>
      <c r="H9" s="32"/>
      <c r="I9" s="33"/>
      <c r="J9" s="34"/>
      <c r="P9" s="1"/>
    </row>
    <row r="10" spans="1:16">
      <c r="C10" s="128" t="s">
        <v>226</v>
      </c>
      <c r="D10" s="335">
        <v>72551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2007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4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1909.2368421052631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2007</v>
      </c>
      <c r="D17" s="348">
        <v>72551</v>
      </c>
      <c r="E17" s="349">
        <v>863.70238095238085</v>
      </c>
      <c r="F17" s="348">
        <v>71687.297619047618</v>
      </c>
      <c r="G17" s="349">
        <v>11207.929543529199</v>
      </c>
      <c r="H17" s="353">
        <v>11207.929543529199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/>
      </c>
      <c r="C18" s="50">
        <f>IF(D11="","-",+C17+1)</f>
        <v>2008</v>
      </c>
      <c r="D18" s="351">
        <v>71687.297619047618</v>
      </c>
      <c r="E18" s="352">
        <v>1295.5535714285713</v>
      </c>
      <c r="F18" s="351">
        <v>70391.744047619053</v>
      </c>
      <c r="G18" s="352">
        <v>11452.836869621469</v>
      </c>
      <c r="H18" s="353">
        <v>11452.836869621469</v>
      </c>
      <c r="I18" s="52">
        <f t="shared" si="0"/>
        <v>0</v>
      </c>
      <c r="J18" s="52"/>
      <c r="K18" s="350">
        <v>0</v>
      </c>
      <c r="L18" s="54">
        <f t="shared" si="1"/>
        <v>0</v>
      </c>
      <c r="M18" s="350">
        <v>0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/>
      </c>
      <c r="C19" s="50">
        <f>IF(D11="","-",+C18+1)</f>
        <v>2009</v>
      </c>
      <c r="D19" s="351">
        <v>70391.744047619053</v>
      </c>
      <c r="E19" s="352">
        <v>1295.5535714285713</v>
      </c>
      <c r="F19" s="351">
        <v>69096.190476190488</v>
      </c>
      <c r="G19" s="352">
        <v>11265.893005237553</v>
      </c>
      <c r="H19" s="353">
        <v>11265.893005237553</v>
      </c>
      <c r="I19" s="52">
        <f t="shared" si="0"/>
        <v>0</v>
      </c>
      <c r="J19" s="52"/>
      <c r="K19" s="350">
        <v>0</v>
      </c>
      <c r="L19" s="54">
        <f t="shared" si="1"/>
        <v>0</v>
      </c>
      <c r="M19" s="350">
        <v>0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4">IF(D20=F19,"","IU")</f>
        <v/>
      </c>
      <c r="C20" s="50">
        <f>IF(D11="","-",+C19+1)</f>
        <v>2010</v>
      </c>
      <c r="D20" s="351">
        <v>69096.190476190488</v>
      </c>
      <c r="E20" s="352">
        <v>1295.5535714285713</v>
      </c>
      <c r="F20" s="351">
        <v>67800.636904761923</v>
      </c>
      <c r="G20" s="352">
        <v>11078.949140853634</v>
      </c>
      <c r="H20" s="353">
        <v>11078.949140853634</v>
      </c>
      <c r="I20" s="52">
        <f t="shared" si="0"/>
        <v>0</v>
      </c>
      <c r="J20" s="52"/>
      <c r="K20" s="379">
        <f t="shared" ref="K20:K25" si="5">G20</f>
        <v>11078.949140853634</v>
      </c>
      <c r="L20" s="380">
        <f t="shared" si="1"/>
        <v>0</v>
      </c>
      <c r="M20" s="379">
        <f t="shared" ref="M20:M25" si="6">H20</f>
        <v>11078.949140853634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4"/>
        <v/>
      </c>
      <c r="C21" s="50">
        <f>IF(D11="","-",+C20+1)</f>
        <v>2011</v>
      </c>
      <c r="D21" s="351">
        <v>67800.636904761923</v>
      </c>
      <c r="E21" s="352">
        <v>1422.5686274509803</v>
      </c>
      <c r="F21" s="351">
        <v>66378.068277310944</v>
      </c>
      <c r="G21" s="352">
        <v>11813.613268851301</v>
      </c>
      <c r="H21" s="353">
        <v>11813.613268851301</v>
      </c>
      <c r="I21" s="52">
        <f t="shared" si="0"/>
        <v>0</v>
      </c>
      <c r="J21" s="52"/>
      <c r="K21" s="350">
        <f t="shared" si="5"/>
        <v>11813.613268851301</v>
      </c>
      <c r="L21" s="54">
        <f t="shared" si="1"/>
        <v>0</v>
      </c>
      <c r="M21" s="350">
        <f t="shared" si="6"/>
        <v>11813.613268851301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4"/>
        <v/>
      </c>
      <c r="C22" s="50">
        <f>IF(D11="","-",+C21+1)</f>
        <v>2012</v>
      </c>
      <c r="D22" s="351">
        <v>66378.068277310944</v>
      </c>
      <c r="E22" s="352">
        <v>1395.2115384615386</v>
      </c>
      <c r="F22" s="351">
        <v>64982.856738849405</v>
      </c>
      <c r="G22" s="352">
        <v>10441.262785463339</v>
      </c>
      <c r="H22" s="353">
        <v>10441.262785463339</v>
      </c>
      <c r="I22" s="52">
        <f t="shared" si="0"/>
        <v>0</v>
      </c>
      <c r="J22" s="52"/>
      <c r="K22" s="350">
        <f t="shared" si="5"/>
        <v>10441.262785463339</v>
      </c>
      <c r="L22" s="54">
        <f t="shared" si="1"/>
        <v>0</v>
      </c>
      <c r="M22" s="350">
        <f t="shared" si="6"/>
        <v>10441.262785463339</v>
      </c>
      <c r="N22" s="54">
        <f t="shared" si="2"/>
        <v>0</v>
      </c>
      <c r="O22" s="54">
        <f t="shared" si="3"/>
        <v>0</v>
      </c>
      <c r="P22" s="1"/>
    </row>
    <row r="23" spans="2:16">
      <c r="B23" s="7" t="str">
        <f t="shared" si="4"/>
        <v/>
      </c>
      <c r="C23" s="50">
        <f>IF(D11="","-",+C22+1)</f>
        <v>2013</v>
      </c>
      <c r="D23" s="351">
        <v>64982.856738849405</v>
      </c>
      <c r="E23" s="352">
        <v>1395.2115384615386</v>
      </c>
      <c r="F23" s="351">
        <v>63587.645200387866</v>
      </c>
      <c r="G23" s="352">
        <v>10475.957148527981</v>
      </c>
      <c r="H23" s="353">
        <v>10475.957148527981</v>
      </c>
      <c r="I23" s="52">
        <v>0</v>
      </c>
      <c r="J23" s="52"/>
      <c r="K23" s="350">
        <f t="shared" si="5"/>
        <v>10475.957148527981</v>
      </c>
      <c r="L23" s="54">
        <f t="shared" ref="L23:L28" si="7">IF(K23&lt;&gt;0,+G23-K23,0)</f>
        <v>0</v>
      </c>
      <c r="M23" s="350">
        <f t="shared" si="6"/>
        <v>10475.957148527981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>
      <c r="B24" s="7" t="str">
        <f t="shared" si="4"/>
        <v/>
      </c>
      <c r="C24" s="50">
        <f>IF(D11="","-",+C23+1)</f>
        <v>2014</v>
      </c>
      <c r="D24" s="351">
        <v>63587.645200387866</v>
      </c>
      <c r="E24" s="352">
        <v>1395.2115384615386</v>
      </c>
      <c r="F24" s="351">
        <v>62192.433661926327</v>
      </c>
      <c r="G24" s="352">
        <v>9956.5453160541092</v>
      </c>
      <c r="H24" s="353">
        <v>9956.5453160541092</v>
      </c>
      <c r="I24" s="52">
        <v>0</v>
      </c>
      <c r="J24" s="52"/>
      <c r="K24" s="350">
        <f t="shared" si="5"/>
        <v>9956.5453160541092</v>
      </c>
      <c r="L24" s="54">
        <f t="shared" si="7"/>
        <v>0</v>
      </c>
      <c r="M24" s="350">
        <f t="shared" si="6"/>
        <v>9956.5453160541092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4"/>
        <v/>
      </c>
      <c r="C25" s="50">
        <f>IF(D11="","-",+C24+1)</f>
        <v>2015</v>
      </c>
      <c r="D25" s="351">
        <v>62192.433661926327</v>
      </c>
      <c r="E25" s="352">
        <v>1395.2115384615386</v>
      </c>
      <c r="F25" s="351">
        <v>60797.222123464788</v>
      </c>
      <c r="G25" s="352">
        <v>9777.4252794187214</v>
      </c>
      <c r="H25" s="353">
        <v>9777.4252794187214</v>
      </c>
      <c r="I25" s="52">
        <v>0</v>
      </c>
      <c r="J25" s="52"/>
      <c r="K25" s="350">
        <f t="shared" si="5"/>
        <v>9777.4252794187214</v>
      </c>
      <c r="L25" s="54">
        <f t="shared" si="7"/>
        <v>0</v>
      </c>
      <c r="M25" s="350">
        <f t="shared" si="6"/>
        <v>9777.4252794187214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4"/>
        <v/>
      </c>
      <c r="C26" s="50">
        <f>IF(D11="","-",+C25+1)</f>
        <v>2016</v>
      </c>
      <c r="D26" s="351">
        <v>60797.222123464788</v>
      </c>
      <c r="E26" s="352">
        <v>1395.2115384615386</v>
      </c>
      <c r="F26" s="351">
        <v>59402.010585003249</v>
      </c>
      <c r="G26" s="352">
        <v>9186.357507240491</v>
      </c>
      <c r="H26" s="353">
        <v>9186.357507240491</v>
      </c>
      <c r="I26" s="52">
        <f t="shared" si="0"/>
        <v>0</v>
      </c>
      <c r="J26" s="52"/>
      <c r="K26" s="350">
        <f t="shared" ref="K26:K31" si="10">G26</f>
        <v>9186.357507240491</v>
      </c>
      <c r="L26" s="54">
        <f t="shared" si="7"/>
        <v>0</v>
      </c>
      <c r="M26" s="350">
        <f t="shared" ref="M26:M31" si="11">H26</f>
        <v>9186.357507240491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4"/>
        <v/>
      </c>
      <c r="C27" s="50">
        <f>IF(D11="","-",+C26+1)</f>
        <v>2017</v>
      </c>
      <c r="D27" s="351">
        <v>59402.010585003249</v>
      </c>
      <c r="E27" s="352">
        <v>1577.195652173913</v>
      </c>
      <c r="F27" s="351">
        <v>57824.814932829337</v>
      </c>
      <c r="G27" s="352">
        <v>8936.0194589414823</v>
      </c>
      <c r="H27" s="353">
        <v>8936.0194589414823</v>
      </c>
      <c r="I27" s="52">
        <f t="shared" si="0"/>
        <v>0</v>
      </c>
      <c r="J27" s="52"/>
      <c r="K27" s="350">
        <f t="shared" si="10"/>
        <v>8936.0194589414823</v>
      </c>
      <c r="L27" s="54">
        <f t="shared" si="7"/>
        <v>0</v>
      </c>
      <c r="M27" s="350">
        <f t="shared" si="11"/>
        <v>8936.0194589414823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4"/>
        <v/>
      </c>
      <c r="C28" s="50">
        <f>IF(D11="","-",+C27+1)</f>
        <v>2018</v>
      </c>
      <c r="D28" s="351">
        <v>57824.814932829337</v>
      </c>
      <c r="E28" s="352">
        <v>1612.2444444444445</v>
      </c>
      <c r="F28" s="351">
        <v>56212.570488384896</v>
      </c>
      <c r="G28" s="352">
        <v>8440.7426840086373</v>
      </c>
      <c r="H28" s="353">
        <v>8440.7426840086373</v>
      </c>
      <c r="I28" s="52">
        <f t="shared" si="0"/>
        <v>0</v>
      </c>
      <c r="J28" s="52"/>
      <c r="K28" s="350">
        <f t="shared" si="10"/>
        <v>8440.7426840086373</v>
      </c>
      <c r="L28" s="54">
        <f t="shared" si="7"/>
        <v>0</v>
      </c>
      <c r="M28" s="350">
        <f t="shared" si="11"/>
        <v>8440.7426840086373</v>
      </c>
      <c r="N28" s="54">
        <f t="shared" si="8"/>
        <v>0</v>
      </c>
      <c r="O28" s="54">
        <f t="shared" si="9"/>
        <v>0</v>
      </c>
      <c r="P28" s="1"/>
    </row>
    <row r="29" spans="2:16">
      <c r="B29" s="7" t="str">
        <f t="shared" si="4"/>
        <v/>
      </c>
      <c r="C29" s="50">
        <f>IF(D11="","-",+C28+1)</f>
        <v>2019</v>
      </c>
      <c r="D29" s="351">
        <v>56212.570488384896</v>
      </c>
      <c r="E29" s="352">
        <v>1813.7750000000001</v>
      </c>
      <c r="F29" s="351">
        <v>54398.795488384894</v>
      </c>
      <c r="G29" s="352">
        <v>7989.0212540933571</v>
      </c>
      <c r="H29" s="353">
        <v>7989.0212540933571</v>
      </c>
      <c r="I29" s="52">
        <f t="shared" si="0"/>
        <v>0</v>
      </c>
      <c r="J29" s="52"/>
      <c r="K29" s="350">
        <f t="shared" si="10"/>
        <v>7989.0212540933571</v>
      </c>
      <c r="L29" s="54">
        <f t="shared" ref="L29" si="12">IF(K29&lt;&gt;0,+G29-K29,0)</f>
        <v>0</v>
      </c>
      <c r="M29" s="350">
        <f t="shared" si="11"/>
        <v>7989.0212540933571</v>
      </c>
      <c r="N29" s="54">
        <f t="shared" ref="N29" si="13">IF(M29&lt;&gt;0,+H29-M29,0)</f>
        <v>0</v>
      </c>
      <c r="O29" s="54">
        <f t="shared" si="3"/>
        <v>0</v>
      </c>
      <c r="P29" s="1"/>
    </row>
    <row r="30" spans="2:16">
      <c r="B30" s="7" t="str">
        <f t="shared" si="4"/>
        <v>IU</v>
      </c>
      <c r="C30" s="50">
        <f>IF(D11="","-",+C29+1)</f>
        <v>2020</v>
      </c>
      <c r="D30" s="351">
        <v>54600.326043940455</v>
      </c>
      <c r="E30" s="352">
        <v>1727.4047619047619</v>
      </c>
      <c r="F30" s="351">
        <v>52872.921282035692</v>
      </c>
      <c r="G30" s="352">
        <v>7531.2168125199005</v>
      </c>
      <c r="H30" s="353">
        <v>7531.2168125199005</v>
      </c>
      <c r="I30" s="52">
        <f t="shared" si="0"/>
        <v>0</v>
      </c>
      <c r="J30" s="52"/>
      <c r="K30" s="350">
        <f t="shared" si="10"/>
        <v>7531.2168125199005</v>
      </c>
      <c r="L30" s="54">
        <f t="shared" ref="L30" si="14">IF(K30&lt;&gt;0,+G30-K30,0)</f>
        <v>0</v>
      </c>
      <c r="M30" s="350">
        <f t="shared" si="11"/>
        <v>7531.2168125199005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4"/>
        <v>IU</v>
      </c>
      <c r="C31" s="50">
        <f>IF(D11="","-",+C30+1)</f>
        <v>2021</v>
      </c>
      <c r="D31" s="351">
        <v>52671.390726480109</v>
      </c>
      <c r="E31" s="352">
        <v>1687.2325581395348</v>
      </c>
      <c r="F31" s="351">
        <v>50984.158168340575</v>
      </c>
      <c r="G31" s="352">
        <v>7184.4287124898146</v>
      </c>
      <c r="H31" s="353">
        <v>7184.4287124898146</v>
      </c>
      <c r="I31" s="52">
        <f t="shared" si="0"/>
        <v>0</v>
      </c>
      <c r="J31" s="52"/>
      <c r="K31" s="350">
        <f t="shared" si="10"/>
        <v>7184.4287124898146</v>
      </c>
      <c r="L31" s="54">
        <f t="shared" ref="L31" si="15">IF(K31&lt;&gt;0,+G31-K31,0)</f>
        <v>0</v>
      </c>
      <c r="M31" s="350">
        <f t="shared" si="11"/>
        <v>7184.4287124898146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4"/>
        <v/>
      </c>
      <c r="C32" s="50">
        <f>IF(D11="","-",+C31+1)</f>
        <v>2022</v>
      </c>
      <c r="D32" s="351">
        <v>50984.158168340575</v>
      </c>
      <c r="E32" s="352">
        <v>1727.4047619047619</v>
      </c>
      <c r="F32" s="351">
        <v>49256.753406435811</v>
      </c>
      <c r="G32" s="352">
        <v>7037.8367110732015</v>
      </c>
      <c r="H32" s="353">
        <v>7037.8367110732015</v>
      </c>
      <c r="I32" s="52">
        <f t="shared" si="0"/>
        <v>0</v>
      </c>
      <c r="J32" s="52"/>
      <c r="K32" s="350">
        <f t="shared" ref="K32" si="16">G32</f>
        <v>7037.8367110732015</v>
      </c>
      <c r="L32" s="54">
        <f t="shared" ref="L32" si="17">IF(K32&lt;&gt;0,+G32-K32,0)</f>
        <v>0</v>
      </c>
      <c r="M32" s="350">
        <f t="shared" ref="M32" si="18">H32</f>
        <v>7037.8367110732015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4"/>
        <v/>
      </c>
      <c r="C33" s="50">
        <f>IF(D11="","-",+C32+1)</f>
        <v>2023</v>
      </c>
      <c r="D33" s="351">
        <v>49256.753406435811</v>
      </c>
      <c r="E33" s="352">
        <v>1860.2820512820513</v>
      </c>
      <c r="F33" s="351">
        <v>47396.471355153757</v>
      </c>
      <c r="G33" s="352">
        <v>7517.475137068097</v>
      </c>
      <c r="H33" s="353">
        <v>7517.475137068097</v>
      </c>
      <c r="I33" s="52">
        <f t="shared" si="0"/>
        <v>0</v>
      </c>
      <c r="J33" s="52"/>
      <c r="K33" s="350">
        <f t="shared" ref="K33" si="19">G33</f>
        <v>7517.475137068097</v>
      </c>
      <c r="L33" s="54">
        <f t="shared" ref="L33" si="20">IF(K33&lt;&gt;0,+G33-K33,0)</f>
        <v>0</v>
      </c>
      <c r="M33" s="350">
        <f t="shared" ref="M33" si="21">H33</f>
        <v>7517.475137068097</v>
      </c>
      <c r="N33" s="54">
        <f t="shared" si="2"/>
        <v>0</v>
      </c>
      <c r="O33" s="54">
        <f t="shared" si="3"/>
        <v>0</v>
      </c>
      <c r="P33" s="1"/>
    </row>
    <row r="34" spans="2:16">
      <c r="B34" s="7" t="str">
        <f t="shared" si="4"/>
        <v/>
      </c>
      <c r="C34" s="50">
        <f>IF(D11="","-",+C33+1)</f>
        <v>2024</v>
      </c>
      <c r="D34" s="351">
        <v>47396.471355153757</v>
      </c>
      <c r="E34" s="352">
        <v>1909.2368421052631</v>
      </c>
      <c r="F34" s="351">
        <v>45487.234513048497</v>
      </c>
      <c r="G34" s="352">
        <v>7082.9634280961545</v>
      </c>
      <c r="H34" s="353">
        <v>7082.9634280961545</v>
      </c>
      <c r="I34" s="52">
        <f t="shared" si="0"/>
        <v>0</v>
      </c>
      <c r="J34" s="52"/>
      <c r="K34" s="350">
        <f t="shared" ref="K34" si="22">G34</f>
        <v>7082.9634280961545</v>
      </c>
      <c r="L34" s="54">
        <f t="shared" ref="L34" si="23">IF(K34&lt;&gt;0,+G34-K34,0)</f>
        <v>0</v>
      </c>
      <c r="M34" s="350">
        <f t="shared" ref="M34" si="24">H34</f>
        <v>7082.9634280961545</v>
      </c>
      <c r="N34" s="54">
        <f t="shared" ref="N34" si="25">IF(M34&lt;&gt;0,+H34-M34,0)</f>
        <v>0</v>
      </c>
      <c r="O34" s="54">
        <f t="shared" ref="O34" si="26">+N34-L34</f>
        <v>0</v>
      </c>
      <c r="P34" s="1"/>
    </row>
    <row r="35" spans="2:16">
      <c r="B35" s="7" t="str">
        <f t="shared" si="4"/>
        <v/>
      </c>
      <c r="C35" s="50">
        <f>IF(D11="","-",+C34+1)</f>
        <v>2025</v>
      </c>
      <c r="D35" s="351">
        <v>45487.234513048497</v>
      </c>
      <c r="E35" s="352">
        <v>1909.2368421052631</v>
      </c>
      <c r="F35" s="351">
        <v>43577.997670943238</v>
      </c>
      <c r="G35" s="352">
        <v>6859.9803812549098</v>
      </c>
      <c r="H35" s="353">
        <v>6859.9803812549098</v>
      </c>
      <c r="I35" s="52">
        <f t="shared" si="0"/>
        <v>0</v>
      </c>
      <c r="J35" s="52"/>
      <c r="K35" s="350">
        <f t="shared" ref="K35" si="27">G35</f>
        <v>6859.9803812549098</v>
      </c>
      <c r="L35" s="54">
        <f t="shared" ref="L35" si="28">IF(K35&lt;&gt;0,+G35-K35,0)</f>
        <v>0</v>
      </c>
      <c r="M35" s="350">
        <f t="shared" ref="M35" si="29">H35</f>
        <v>6859.9803812549098</v>
      </c>
      <c r="N35" s="54">
        <f t="shared" ref="N35" si="30">IF(M35&lt;&gt;0,+H35-M35,0)</f>
        <v>0</v>
      </c>
      <c r="O35" s="54">
        <f t="shared" si="3"/>
        <v>0</v>
      </c>
      <c r="P35" s="1"/>
    </row>
    <row r="36" spans="2:16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43577.997670943238</v>
      </c>
      <c r="E36" s="354">
        <f>IF(+I14&lt;F35,I14,D36)</f>
        <v>1909.2368421052631</v>
      </c>
      <c r="F36" s="55">
        <f t="shared" ref="F36:F48" si="31">+D36-E36</f>
        <v>41668.760828837978</v>
      </c>
      <c r="G36" s="355">
        <f t="shared" ref="G36:G72" si="32">(D36+F36)/2*I$12+E36</f>
        <v>6751.5295291513776</v>
      </c>
      <c r="H36" s="336">
        <f t="shared" ref="H36:H72" si="33">+(D36+F36)/2*I$13+E36</f>
        <v>6751.5295291513776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41668.760828837978</v>
      </c>
      <c r="E37" s="354">
        <f>IF(+I14&lt;F36,I14,D37)</f>
        <v>1909.2368421052631</v>
      </c>
      <c r="F37" s="55">
        <f t="shared" si="31"/>
        <v>39759.523986732718</v>
      </c>
      <c r="G37" s="355">
        <f t="shared" si="32"/>
        <v>6534.6278249443121</v>
      </c>
      <c r="H37" s="336">
        <f t="shared" si="33"/>
        <v>6534.6278249443121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39759.523986732718</v>
      </c>
      <c r="E38" s="354">
        <f>IF(+I14&lt;F37,I14,D38)</f>
        <v>1909.2368421052631</v>
      </c>
      <c r="F38" s="55">
        <f t="shared" si="31"/>
        <v>37850.287144627458</v>
      </c>
      <c r="G38" s="355">
        <f t="shared" si="32"/>
        <v>6317.7261207372485</v>
      </c>
      <c r="H38" s="336">
        <f t="shared" si="33"/>
        <v>6317.7261207372485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37850.287144627458</v>
      </c>
      <c r="E39" s="354">
        <f>IF(+I14&lt;F38,I14,D39)</f>
        <v>1909.2368421052631</v>
      </c>
      <c r="F39" s="55">
        <f t="shared" si="31"/>
        <v>35941.050302522199</v>
      </c>
      <c r="G39" s="355">
        <f t="shared" si="32"/>
        <v>6100.824416530183</v>
      </c>
      <c r="H39" s="336">
        <f t="shared" si="33"/>
        <v>6100.824416530183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35941.050302522199</v>
      </c>
      <c r="E40" s="354">
        <f>IF(+I14&lt;F39,I14,D40)</f>
        <v>1909.2368421052631</v>
      </c>
      <c r="F40" s="55">
        <f t="shared" si="31"/>
        <v>34031.813460416939</v>
      </c>
      <c r="G40" s="355">
        <f t="shared" si="32"/>
        <v>5883.9227123231185</v>
      </c>
      <c r="H40" s="336">
        <f t="shared" si="33"/>
        <v>5883.9227123231185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34031.813460416939</v>
      </c>
      <c r="E41" s="354">
        <f>IF(+I14&lt;F40,I14,D41)</f>
        <v>1909.2368421052631</v>
      </c>
      <c r="F41" s="55">
        <f t="shared" si="31"/>
        <v>32122.576618311676</v>
      </c>
      <c r="G41" s="355">
        <f t="shared" si="32"/>
        <v>5667.0210081160531</v>
      </c>
      <c r="H41" s="336">
        <f t="shared" si="33"/>
        <v>5667.0210081160531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32122.576618311676</v>
      </c>
      <c r="E42" s="354">
        <f>IF(+I14&lt;F41,I14,D42)</f>
        <v>1909.2368421052631</v>
      </c>
      <c r="F42" s="55">
        <f t="shared" si="31"/>
        <v>30213.339776206412</v>
      </c>
      <c r="G42" s="355">
        <f t="shared" si="32"/>
        <v>5450.1193039089885</v>
      </c>
      <c r="H42" s="336">
        <f t="shared" si="33"/>
        <v>5450.1193039089885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30213.339776206412</v>
      </c>
      <c r="E43" s="354">
        <f>IF(+I14&lt;F42,I14,D43)</f>
        <v>1909.2368421052631</v>
      </c>
      <c r="F43" s="55">
        <f t="shared" si="31"/>
        <v>28304.102934101149</v>
      </c>
      <c r="G43" s="355">
        <f t="shared" si="32"/>
        <v>5233.2175997019222</v>
      </c>
      <c r="H43" s="336">
        <f t="shared" si="33"/>
        <v>5233.2175997019222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28304.102934101149</v>
      </c>
      <c r="E44" s="354">
        <f>IF(+I14&lt;F43,I14,D44)</f>
        <v>1909.2368421052631</v>
      </c>
      <c r="F44" s="55">
        <f t="shared" si="31"/>
        <v>26394.866091995886</v>
      </c>
      <c r="G44" s="355">
        <f t="shared" si="32"/>
        <v>5016.3158954948576</v>
      </c>
      <c r="H44" s="336">
        <f t="shared" si="33"/>
        <v>5016.3158954948576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26394.866091995886</v>
      </c>
      <c r="E45" s="354">
        <f>IF(+I14&lt;F44,I14,D45)</f>
        <v>1909.2368421052631</v>
      </c>
      <c r="F45" s="55">
        <f t="shared" si="31"/>
        <v>24485.629249890622</v>
      </c>
      <c r="G45" s="355">
        <f t="shared" si="32"/>
        <v>4799.4141912877922</v>
      </c>
      <c r="H45" s="336">
        <f t="shared" si="33"/>
        <v>4799.4141912877922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24485.629249890622</v>
      </c>
      <c r="E46" s="354">
        <f>IF(+I14&lt;F45,I14,D46)</f>
        <v>1909.2368421052631</v>
      </c>
      <c r="F46" s="55">
        <f t="shared" si="31"/>
        <v>22576.392407785359</v>
      </c>
      <c r="G46" s="355">
        <f t="shared" si="32"/>
        <v>4582.5124870807276</v>
      </c>
      <c r="H46" s="336">
        <f t="shared" si="33"/>
        <v>4582.5124870807276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22576.392407785359</v>
      </c>
      <c r="E47" s="354">
        <f>IF(+I14&lt;F46,I14,D47)</f>
        <v>1909.2368421052631</v>
      </c>
      <c r="F47" s="55">
        <f t="shared" si="31"/>
        <v>20667.155565680096</v>
      </c>
      <c r="G47" s="355">
        <f t="shared" si="32"/>
        <v>4365.6107828736613</v>
      </c>
      <c r="H47" s="336">
        <f t="shared" si="33"/>
        <v>4365.6107828736613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20667.155565680096</v>
      </c>
      <c r="E48" s="354">
        <f>IF(+I14&lt;F47,I14,D48)</f>
        <v>1909.2368421052631</v>
      </c>
      <c r="F48" s="55">
        <f t="shared" si="31"/>
        <v>18757.918723574832</v>
      </c>
      <c r="G48" s="355">
        <f t="shared" si="32"/>
        <v>4148.7090786665967</v>
      </c>
      <c r="H48" s="336">
        <f t="shared" si="33"/>
        <v>4148.7090786665967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18757.918723574832</v>
      </c>
      <c r="E49" s="354">
        <f>IF(+I14&lt;F48,I14,D49)</f>
        <v>1909.2368421052631</v>
      </c>
      <c r="F49" s="55">
        <f t="shared" ref="F49:F72" si="34">+D49-E49</f>
        <v>16848.681881469569</v>
      </c>
      <c r="G49" s="355">
        <f t="shared" si="32"/>
        <v>3931.8073744595313</v>
      </c>
      <c r="H49" s="336">
        <f t="shared" si="33"/>
        <v>3931.8073744595313</v>
      </c>
      <c r="I49" s="52">
        <f t="shared" ref="I49:I72" si="35">H49-G49</f>
        <v>0</v>
      </c>
      <c r="J49" s="52"/>
      <c r="K49" s="115"/>
      <c r="L49" s="54">
        <f t="shared" ref="L49:L72" si="36">IF(K49&lt;&gt;0,+G49-K49,0)</f>
        <v>0</v>
      </c>
      <c r="M49" s="115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6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16848.681881469569</v>
      </c>
      <c r="E50" s="354">
        <f>IF(+I14&lt;F49,I14,D50)</f>
        <v>1909.2368421052631</v>
      </c>
      <c r="F50" s="55">
        <f t="shared" si="34"/>
        <v>14939.445039364306</v>
      </c>
      <c r="G50" s="355">
        <f t="shared" si="32"/>
        <v>3714.9056702524663</v>
      </c>
      <c r="H50" s="336">
        <f t="shared" si="33"/>
        <v>3714.9056702524663</v>
      </c>
      <c r="I50" s="52">
        <f t="shared" si="35"/>
        <v>0</v>
      </c>
      <c r="J50" s="52"/>
      <c r="K50" s="115"/>
      <c r="L50" s="54">
        <f t="shared" si="36"/>
        <v>0</v>
      </c>
      <c r="M50" s="115"/>
      <c r="N50" s="54">
        <f t="shared" si="37"/>
        <v>0</v>
      </c>
      <c r="O50" s="54">
        <f t="shared" si="38"/>
        <v>0</v>
      </c>
      <c r="P50" s="1"/>
    </row>
    <row r="51" spans="2:16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14939.445039364306</v>
      </c>
      <c r="E51" s="354">
        <f>IF(+I14&lt;F50,I14,D51)</f>
        <v>1909.2368421052631</v>
      </c>
      <c r="F51" s="55">
        <f t="shared" si="34"/>
        <v>13030.208197259042</v>
      </c>
      <c r="G51" s="355">
        <f t="shared" si="32"/>
        <v>3498.0039660454013</v>
      </c>
      <c r="H51" s="336">
        <f t="shared" si="33"/>
        <v>3498.0039660454013</v>
      </c>
      <c r="I51" s="52">
        <f t="shared" si="35"/>
        <v>0</v>
      </c>
      <c r="J51" s="52"/>
      <c r="K51" s="115"/>
      <c r="L51" s="54">
        <f t="shared" si="36"/>
        <v>0</v>
      </c>
      <c r="M51" s="115"/>
      <c r="N51" s="54">
        <f t="shared" si="37"/>
        <v>0</v>
      </c>
      <c r="O51" s="54">
        <f t="shared" si="38"/>
        <v>0</v>
      </c>
      <c r="P51" s="1"/>
    </row>
    <row r="52" spans="2:16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13030.208197259042</v>
      </c>
      <c r="E52" s="354">
        <f>IF(+I14&lt;F51,I14,D52)</f>
        <v>1909.2368421052631</v>
      </c>
      <c r="F52" s="55">
        <f t="shared" si="34"/>
        <v>11120.971355153779</v>
      </c>
      <c r="G52" s="355">
        <f t="shared" si="32"/>
        <v>3281.1022618383358</v>
      </c>
      <c r="H52" s="336">
        <f t="shared" si="33"/>
        <v>3281.1022618383358</v>
      </c>
      <c r="I52" s="52">
        <f t="shared" si="35"/>
        <v>0</v>
      </c>
      <c r="J52" s="52"/>
      <c r="K52" s="115"/>
      <c r="L52" s="54">
        <f t="shared" si="36"/>
        <v>0</v>
      </c>
      <c r="M52" s="115"/>
      <c r="N52" s="54">
        <f t="shared" si="37"/>
        <v>0</v>
      </c>
      <c r="O52" s="54">
        <f t="shared" si="38"/>
        <v>0</v>
      </c>
      <c r="P52" s="1"/>
    </row>
    <row r="53" spans="2:16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11120.971355153779</v>
      </c>
      <c r="E53" s="354">
        <f>IF(+I14&lt;F52,I14,D53)</f>
        <v>1909.2368421052631</v>
      </c>
      <c r="F53" s="55">
        <f t="shared" si="34"/>
        <v>9211.7345130485155</v>
      </c>
      <c r="G53" s="355">
        <f t="shared" si="32"/>
        <v>3064.2005576312704</v>
      </c>
      <c r="H53" s="336">
        <f t="shared" si="33"/>
        <v>3064.2005576312704</v>
      </c>
      <c r="I53" s="52">
        <f t="shared" si="35"/>
        <v>0</v>
      </c>
      <c r="J53" s="52"/>
      <c r="K53" s="115"/>
      <c r="L53" s="54">
        <f t="shared" si="36"/>
        <v>0</v>
      </c>
      <c r="M53" s="115"/>
      <c r="N53" s="54">
        <f t="shared" si="37"/>
        <v>0</v>
      </c>
      <c r="O53" s="54">
        <f t="shared" si="38"/>
        <v>0</v>
      </c>
      <c r="P53" s="1"/>
    </row>
    <row r="54" spans="2:16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9211.7345130485155</v>
      </c>
      <c r="E54" s="354">
        <f>IF(+I14&lt;F53,I14,D54)</f>
        <v>1909.2368421052631</v>
      </c>
      <c r="F54" s="55">
        <f t="shared" si="34"/>
        <v>7302.4976709432522</v>
      </c>
      <c r="G54" s="355">
        <f t="shared" si="32"/>
        <v>2847.2988534242054</v>
      </c>
      <c r="H54" s="336">
        <f t="shared" si="33"/>
        <v>2847.2988534242054</v>
      </c>
      <c r="I54" s="52">
        <f t="shared" si="35"/>
        <v>0</v>
      </c>
      <c r="J54" s="52"/>
      <c r="K54" s="115"/>
      <c r="L54" s="54">
        <f t="shared" si="36"/>
        <v>0</v>
      </c>
      <c r="M54" s="115"/>
      <c r="N54" s="54">
        <f t="shared" si="37"/>
        <v>0</v>
      </c>
      <c r="O54" s="54">
        <f t="shared" si="38"/>
        <v>0</v>
      </c>
      <c r="P54" s="1"/>
    </row>
    <row r="55" spans="2:16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7302.4976709432522</v>
      </c>
      <c r="E55" s="354">
        <f>IF(+I14&lt;F54,I14,D55)</f>
        <v>1909.2368421052631</v>
      </c>
      <c r="F55" s="55">
        <f t="shared" si="34"/>
        <v>5393.2608288379888</v>
      </c>
      <c r="G55" s="355">
        <f t="shared" si="32"/>
        <v>2630.3971492171404</v>
      </c>
      <c r="H55" s="336">
        <f t="shared" si="33"/>
        <v>2630.3971492171404</v>
      </c>
      <c r="I55" s="52">
        <f t="shared" si="35"/>
        <v>0</v>
      </c>
      <c r="J55" s="52"/>
      <c r="K55" s="115"/>
      <c r="L55" s="54">
        <f t="shared" si="36"/>
        <v>0</v>
      </c>
      <c r="M55" s="115"/>
      <c r="N55" s="54">
        <f t="shared" si="37"/>
        <v>0</v>
      </c>
      <c r="O55" s="54">
        <f t="shared" si="38"/>
        <v>0</v>
      </c>
      <c r="P55" s="1"/>
    </row>
    <row r="56" spans="2:16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5393.2608288379888</v>
      </c>
      <c r="E56" s="354">
        <f>IF(+I14&lt;F55,I14,D56)</f>
        <v>1909.2368421052631</v>
      </c>
      <c r="F56" s="55">
        <f t="shared" si="34"/>
        <v>3484.0239867327255</v>
      </c>
      <c r="G56" s="355">
        <f t="shared" si="32"/>
        <v>2413.4954450100749</v>
      </c>
      <c r="H56" s="336">
        <f t="shared" si="33"/>
        <v>2413.4954450100749</v>
      </c>
      <c r="I56" s="52">
        <f t="shared" si="35"/>
        <v>0</v>
      </c>
      <c r="J56" s="52"/>
      <c r="K56" s="115"/>
      <c r="L56" s="54">
        <f t="shared" si="36"/>
        <v>0</v>
      </c>
      <c r="M56" s="115"/>
      <c r="N56" s="54">
        <f t="shared" si="37"/>
        <v>0</v>
      </c>
      <c r="O56" s="54">
        <f t="shared" si="38"/>
        <v>0</v>
      </c>
      <c r="P56" s="1"/>
    </row>
    <row r="57" spans="2:16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3484.0239867327255</v>
      </c>
      <c r="E57" s="354">
        <f>IF(+I14&lt;F56,I14,D57)</f>
        <v>1909.2368421052631</v>
      </c>
      <c r="F57" s="55">
        <f t="shared" si="34"/>
        <v>1574.7871446274623</v>
      </c>
      <c r="G57" s="355">
        <f t="shared" si="32"/>
        <v>2196.59374080301</v>
      </c>
      <c r="H57" s="336">
        <f t="shared" si="33"/>
        <v>2196.59374080301</v>
      </c>
      <c r="I57" s="52">
        <f t="shared" si="35"/>
        <v>0</v>
      </c>
      <c r="J57" s="52"/>
      <c r="K57" s="115"/>
      <c r="L57" s="54">
        <f t="shared" si="36"/>
        <v>0</v>
      </c>
      <c r="M57" s="115"/>
      <c r="N57" s="54">
        <f t="shared" si="37"/>
        <v>0</v>
      </c>
      <c r="O57" s="54">
        <f t="shared" si="38"/>
        <v>0</v>
      </c>
      <c r="P57" s="1"/>
    </row>
    <row r="58" spans="2:16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1574.7871446274623</v>
      </c>
      <c r="E58" s="354">
        <f>IF(+I14&lt;F57,I14,D58)</f>
        <v>1574.7871446274623</v>
      </c>
      <c r="F58" s="55">
        <f t="shared" si="34"/>
        <v>0</v>
      </c>
      <c r="G58" s="355">
        <f t="shared" si="32"/>
        <v>1664.2401679245695</v>
      </c>
      <c r="H58" s="336">
        <f t="shared" si="33"/>
        <v>1664.2401679245695</v>
      </c>
      <c r="I58" s="52">
        <f t="shared" si="35"/>
        <v>0</v>
      </c>
      <c r="J58" s="52"/>
      <c r="K58" s="115"/>
      <c r="L58" s="54">
        <f t="shared" si="36"/>
        <v>0</v>
      </c>
      <c r="M58" s="115"/>
      <c r="N58" s="54">
        <f t="shared" si="37"/>
        <v>0</v>
      </c>
      <c r="O58" s="54">
        <f t="shared" si="38"/>
        <v>0</v>
      </c>
      <c r="P58" s="1"/>
    </row>
    <row r="59" spans="2:16">
      <c r="B59" s="7" t="str">
        <f t="shared" si="4"/>
        <v/>
      </c>
      <c r="C59" s="50">
        <f>IF(D11="","-",+C58+1)</f>
        <v>2049</v>
      </c>
      <c r="D59" s="55">
        <f>IF(F58+SUM(E$17:E58)=D$10,F58,D$10-SUM(E$17:E58))</f>
        <v>0</v>
      </c>
      <c r="E59" s="354">
        <f>IF(+I14&lt;F58,I14,D59)</f>
        <v>0</v>
      </c>
      <c r="F59" s="55">
        <f t="shared" si="34"/>
        <v>0</v>
      </c>
      <c r="G59" s="355">
        <f t="shared" si="32"/>
        <v>0</v>
      </c>
      <c r="H59" s="336">
        <f t="shared" si="33"/>
        <v>0</v>
      </c>
      <c r="I59" s="52">
        <f t="shared" si="35"/>
        <v>0</v>
      </c>
      <c r="J59" s="52"/>
      <c r="K59" s="115"/>
      <c r="L59" s="54">
        <f t="shared" si="36"/>
        <v>0</v>
      </c>
      <c r="M59" s="115"/>
      <c r="N59" s="54">
        <f t="shared" si="37"/>
        <v>0</v>
      </c>
      <c r="O59" s="54">
        <f t="shared" si="38"/>
        <v>0</v>
      </c>
      <c r="P59" s="1"/>
    </row>
    <row r="60" spans="2:16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0</v>
      </c>
      <c r="E60" s="354">
        <f>IF(+I14&lt;F59,I14,D60)</f>
        <v>0</v>
      </c>
      <c r="F60" s="55">
        <f t="shared" si="34"/>
        <v>0</v>
      </c>
      <c r="G60" s="355">
        <f t="shared" si="32"/>
        <v>0</v>
      </c>
      <c r="H60" s="336">
        <f t="shared" si="33"/>
        <v>0</v>
      </c>
      <c r="I60" s="52">
        <f t="shared" si="35"/>
        <v>0</v>
      </c>
      <c r="J60" s="52"/>
      <c r="K60" s="115"/>
      <c r="L60" s="54">
        <f t="shared" si="36"/>
        <v>0</v>
      </c>
      <c r="M60" s="115"/>
      <c r="N60" s="54">
        <f t="shared" si="37"/>
        <v>0</v>
      </c>
      <c r="O60" s="54">
        <f t="shared" si="38"/>
        <v>0</v>
      </c>
      <c r="P60" s="1"/>
    </row>
    <row r="61" spans="2:16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0</v>
      </c>
      <c r="E61" s="354">
        <f>IF(+I14&lt;F60,I14,D61)</f>
        <v>0</v>
      </c>
      <c r="F61" s="55">
        <f t="shared" si="34"/>
        <v>0</v>
      </c>
      <c r="G61" s="355">
        <f t="shared" si="32"/>
        <v>0</v>
      </c>
      <c r="H61" s="336">
        <f t="shared" si="33"/>
        <v>0</v>
      </c>
      <c r="I61" s="52">
        <f t="shared" si="35"/>
        <v>0</v>
      </c>
      <c r="J61" s="52"/>
      <c r="K61" s="115"/>
      <c r="L61" s="54">
        <f t="shared" si="36"/>
        <v>0</v>
      </c>
      <c r="M61" s="115"/>
      <c r="N61" s="54">
        <f t="shared" si="37"/>
        <v>0</v>
      </c>
      <c r="O61" s="54">
        <f t="shared" si="38"/>
        <v>0</v>
      </c>
      <c r="P61" s="1"/>
    </row>
    <row r="62" spans="2:16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54">
        <f>IF(+I14&lt;F61,I14,D62)</f>
        <v>0</v>
      </c>
      <c r="F62" s="55">
        <f t="shared" si="34"/>
        <v>0</v>
      </c>
      <c r="G62" s="355">
        <f t="shared" si="32"/>
        <v>0</v>
      </c>
      <c r="H62" s="336">
        <f t="shared" si="33"/>
        <v>0</v>
      </c>
      <c r="I62" s="52">
        <f t="shared" si="35"/>
        <v>0</v>
      </c>
      <c r="J62" s="52"/>
      <c r="K62" s="115"/>
      <c r="L62" s="54">
        <f t="shared" si="36"/>
        <v>0</v>
      </c>
      <c r="M62" s="115"/>
      <c r="N62" s="54">
        <f t="shared" si="37"/>
        <v>0</v>
      </c>
      <c r="O62" s="54">
        <f t="shared" si="38"/>
        <v>0</v>
      </c>
      <c r="P62" s="1"/>
    </row>
    <row r="63" spans="2:16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54">
        <f>IF(+I14&lt;F62,I14,D63)</f>
        <v>0</v>
      </c>
      <c r="F63" s="55">
        <f t="shared" si="34"/>
        <v>0</v>
      </c>
      <c r="G63" s="355">
        <f t="shared" si="32"/>
        <v>0</v>
      </c>
      <c r="H63" s="336">
        <f t="shared" si="33"/>
        <v>0</v>
      </c>
      <c r="I63" s="52">
        <f t="shared" si="35"/>
        <v>0</v>
      </c>
      <c r="J63" s="52"/>
      <c r="K63" s="115"/>
      <c r="L63" s="54">
        <f t="shared" si="36"/>
        <v>0</v>
      </c>
      <c r="M63" s="115"/>
      <c r="N63" s="54">
        <f t="shared" si="37"/>
        <v>0</v>
      </c>
      <c r="O63" s="54">
        <f t="shared" si="38"/>
        <v>0</v>
      </c>
      <c r="P63" s="1"/>
    </row>
    <row r="64" spans="2:16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54">
        <f>IF(+I14&lt;F63,I14,D64)</f>
        <v>0</v>
      </c>
      <c r="F64" s="55">
        <f t="shared" si="34"/>
        <v>0</v>
      </c>
      <c r="G64" s="355">
        <f t="shared" si="32"/>
        <v>0</v>
      </c>
      <c r="H64" s="336">
        <f t="shared" si="33"/>
        <v>0</v>
      </c>
      <c r="I64" s="52">
        <f t="shared" si="35"/>
        <v>0</v>
      </c>
      <c r="J64" s="52"/>
      <c r="K64" s="115"/>
      <c r="L64" s="54">
        <f t="shared" si="36"/>
        <v>0</v>
      </c>
      <c r="M64" s="115"/>
      <c r="N64" s="54">
        <f t="shared" si="37"/>
        <v>0</v>
      </c>
      <c r="O64" s="54">
        <f t="shared" si="38"/>
        <v>0</v>
      </c>
      <c r="P64" s="1"/>
    </row>
    <row r="65" spans="2:16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54">
        <f>IF(+I14&lt;F64,I14,D65)</f>
        <v>0</v>
      </c>
      <c r="F65" s="55">
        <f t="shared" si="34"/>
        <v>0</v>
      </c>
      <c r="G65" s="355">
        <f t="shared" si="32"/>
        <v>0</v>
      </c>
      <c r="H65" s="336">
        <f t="shared" si="33"/>
        <v>0</v>
      </c>
      <c r="I65" s="52">
        <f t="shared" si="35"/>
        <v>0</v>
      </c>
      <c r="J65" s="52"/>
      <c r="K65" s="115"/>
      <c r="L65" s="54">
        <f t="shared" si="36"/>
        <v>0</v>
      </c>
      <c r="M65" s="115"/>
      <c r="N65" s="54">
        <f t="shared" si="37"/>
        <v>0</v>
      </c>
      <c r="O65" s="54">
        <f t="shared" si="38"/>
        <v>0</v>
      </c>
      <c r="P65" s="1"/>
    </row>
    <row r="66" spans="2:16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54">
        <f>IF(+I14&lt;F65,I14,D66)</f>
        <v>0</v>
      </c>
      <c r="F66" s="55">
        <f t="shared" si="34"/>
        <v>0</v>
      </c>
      <c r="G66" s="355">
        <f t="shared" si="32"/>
        <v>0</v>
      </c>
      <c r="H66" s="336">
        <f t="shared" si="33"/>
        <v>0</v>
      </c>
      <c r="I66" s="52">
        <f t="shared" si="35"/>
        <v>0</v>
      </c>
      <c r="J66" s="52"/>
      <c r="K66" s="115"/>
      <c r="L66" s="54">
        <f t="shared" si="36"/>
        <v>0</v>
      </c>
      <c r="M66" s="115"/>
      <c r="N66" s="54">
        <f t="shared" si="37"/>
        <v>0</v>
      </c>
      <c r="O66" s="54">
        <f t="shared" si="38"/>
        <v>0</v>
      </c>
      <c r="P66" s="1"/>
    </row>
    <row r="67" spans="2:16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54">
        <f>IF(+I14&lt;F66,I14,D67)</f>
        <v>0</v>
      </c>
      <c r="F67" s="55">
        <f t="shared" si="34"/>
        <v>0</v>
      </c>
      <c r="G67" s="355">
        <f t="shared" si="32"/>
        <v>0</v>
      </c>
      <c r="H67" s="336">
        <f t="shared" si="33"/>
        <v>0</v>
      </c>
      <c r="I67" s="52">
        <f t="shared" si="35"/>
        <v>0</v>
      </c>
      <c r="J67" s="52"/>
      <c r="K67" s="115"/>
      <c r="L67" s="54">
        <f t="shared" si="36"/>
        <v>0</v>
      </c>
      <c r="M67" s="115"/>
      <c r="N67" s="54">
        <f t="shared" si="37"/>
        <v>0</v>
      </c>
      <c r="O67" s="54">
        <f t="shared" si="38"/>
        <v>0</v>
      </c>
      <c r="P67" s="1"/>
    </row>
    <row r="68" spans="2:16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54">
        <f>IF(+I14&lt;F67,I14,D68)</f>
        <v>0</v>
      </c>
      <c r="F68" s="55">
        <f t="shared" si="34"/>
        <v>0</v>
      </c>
      <c r="G68" s="355">
        <f t="shared" si="32"/>
        <v>0</v>
      </c>
      <c r="H68" s="336">
        <f t="shared" si="33"/>
        <v>0</v>
      </c>
      <c r="I68" s="52">
        <f t="shared" si="35"/>
        <v>0</v>
      </c>
      <c r="J68" s="52"/>
      <c r="K68" s="115"/>
      <c r="L68" s="54">
        <f t="shared" si="36"/>
        <v>0</v>
      </c>
      <c r="M68" s="115"/>
      <c r="N68" s="54">
        <f t="shared" si="37"/>
        <v>0</v>
      </c>
      <c r="O68" s="54">
        <f t="shared" si="38"/>
        <v>0</v>
      </c>
      <c r="P68" s="1"/>
    </row>
    <row r="69" spans="2:16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54">
        <f>IF(+I14&lt;F68,I14,D69)</f>
        <v>0</v>
      </c>
      <c r="F69" s="55">
        <f t="shared" si="34"/>
        <v>0</v>
      </c>
      <c r="G69" s="355">
        <f t="shared" si="32"/>
        <v>0</v>
      </c>
      <c r="H69" s="336">
        <f t="shared" si="33"/>
        <v>0</v>
      </c>
      <c r="I69" s="52">
        <f t="shared" si="35"/>
        <v>0</v>
      </c>
      <c r="J69" s="52"/>
      <c r="K69" s="115"/>
      <c r="L69" s="54">
        <f t="shared" si="36"/>
        <v>0</v>
      </c>
      <c r="M69" s="115"/>
      <c r="N69" s="54">
        <f t="shared" si="37"/>
        <v>0</v>
      </c>
      <c r="O69" s="54">
        <f t="shared" si="38"/>
        <v>0</v>
      </c>
      <c r="P69" s="1"/>
    </row>
    <row r="70" spans="2:16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54">
        <f>IF(+I14&lt;F69,I14,D70)</f>
        <v>0</v>
      </c>
      <c r="F70" s="55">
        <f t="shared" si="34"/>
        <v>0</v>
      </c>
      <c r="G70" s="355">
        <f t="shared" si="32"/>
        <v>0</v>
      </c>
      <c r="H70" s="336">
        <f t="shared" si="33"/>
        <v>0</v>
      </c>
      <c r="I70" s="52">
        <f t="shared" si="35"/>
        <v>0</v>
      </c>
      <c r="J70" s="52"/>
      <c r="K70" s="115"/>
      <c r="L70" s="54">
        <f t="shared" si="36"/>
        <v>0</v>
      </c>
      <c r="M70" s="115"/>
      <c r="N70" s="54">
        <f t="shared" si="37"/>
        <v>0</v>
      </c>
      <c r="O70" s="54">
        <f t="shared" si="38"/>
        <v>0</v>
      </c>
      <c r="P70" s="1"/>
    </row>
    <row r="71" spans="2:16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54">
        <f>IF(+I14&lt;F70,I14,D71)</f>
        <v>0</v>
      </c>
      <c r="F71" s="55">
        <f t="shared" si="34"/>
        <v>0</v>
      </c>
      <c r="G71" s="355">
        <f t="shared" si="32"/>
        <v>0</v>
      </c>
      <c r="H71" s="336">
        <f t="shared" si="33"/>
        <v>0</v>
      </c>
      <c r="I71" s="52">
        <f t="shared" si="35"/>
        <v>0</v>
      </c>
      <c r="J71" s="52"/>
      <c r="K71" s="115"/>
      <c r="L71" s="54">
        <f t="shared" si="36"/>
        <v>0</v>
      </c>
      <c r="M71" s="115"/>
      <c r="N71" s="54">
        <f t="shared" si="37"/>
        <v>0</v>
      </c>
      <c r="O71" s="54">
        <f t="shared" si="38"/>
        <v>0</v>
      </c>
      <c r="P71" s="1"/>
    </row>
    <row r="72" spans="2:16" ht="13.5" thickBot="1">
      <c r="B72" s="7" t="str">
        <f t="shared" si="4"/>
        <v/>
      </c>
      <c r="C72" s="58">
        <f>IF(D11="","-",+C71+1)</f>
        <v>2062</v>
      </c>
      <c r="D72" s="59">
        <f>IF(F71+SUM(E$17:E71)=D$10,F71,D$10-SUM(E$17:E71))</f>
        <v>0</v>
      </c>
      <c r="E72" s="357">
        <f>IF(+I14&lt;F71,I14,D72)</f>
        <v>0</v>
      </c>
      <c r="F72" s="59">
        <f t="shared" si="34"/>
        <v>0</v>
      </c>
      <c r="G72" s="59">
        <f t="shared" si="32"/>
        <v>0</v>
      </c>
      <c r="H72" s="59">
        <f t="shared" si="33"/>
        <v>0</v>
      </c>
      <c r="I72" s="61">
        <f t="shared" si="35"/>
        <v>0</v>
      </c>
      <c r="J72" s="52"/>
      <c r="K72" s="116"/>
      <c r="L72" s="62">
        <f t="shared" si="36"/>
        <v>0</v>
      </c>
      <c r="M72" s="116"/>
      <c r="N72" s="62">
        <f t="shared" si="37"/>
        <v>0</v>
      </c>
      <c r="O72" s="62">
        <f t="shared" si="38"/>
        <v>0</v>
      </c>
      <c r="P72" s="1"/>
    </row>
    <row r="73" spans="2:16">
      <c r="C73" s="12" t="s">
        <v>77</v>
      </c>
      <c r="D73" s="266"/>
      <c r="E73" s="266">
        <f>SUM(E17:E72)</f>
        <v>72550.999999999971</v>
      </c>
      <c r="F73" s="266"/>
      <c r="G73" s="266">
        <f>SUM(G17:G72)</f>
        <v>275330.05058176618</v>
      </c>
      <c r="H73" s="266">
        <f>SUM(H17:H72)</f>
        <v>275330.05058176618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9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6859.9803812549098</v>
      </c>
      <c r="N87" s="364">
        <f>IF(J92&lt;D11,0,VLOOKUP(J92,C17:O72,11))</f>
        <v>6859.9803812549098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7309.1989744325929</v>
      </c>
      <c r="N88" s="367">
        <f>IF(J92&lt;D11,0,VLOOKUP(J92,C99:P154,7))</f>
        <v>7309.1989744325929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Tulsa Southeast Upgrade (repl switches)*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449.21859317768303</v>
      </c>
      <c r="N89" s="369">
        <f>+N88-N87</f>
        <v>449.21859317768303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TP2004033</v>
      </c>
      <c r="E91" s="74" t="str">
        <f>E9</f>
        <v>SPP Project ID =</v>
      </c>
      <c r="F91" s="513">
        <f>F9</f>
        <v>46</v>
      </c>
      <c r="G91" s="74"/>
      <c r="H91" s="74"/>
      <c r="I91" s="74"/>
      <c r="J91" s="74"/>
    </row>
    <row r="92" spans="1:16">
      <c r="C92" s="128" t="s">
        <v>226</v>
      </c>
      <c r="D92" s="335">
        <v>72551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2007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4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1961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2007</v>
      </c>
      <c r="D99" s="348">
        <v>0</v>
      </c>
      <c r="E99" s="352">
        <v>0</v>
      </c>
      <c r="F99" s="351">
        <v>72551</v>
      </c>
      <c r="G99" s="376">
        <v>36276</v>
      </c>
      <c r="H99" s="377">
        <v>5762</v>
      </c>
      <c r="I99" s="378">
        <v>5762</v>
      </c>
      <c r="J99" s="54">
        <f t="shared" ref="J99:J130" si="39">+I99-H99</f>
        <v>0</v>
      </c>
      <c r="K99" s="54"/>
      <c r="L99" s="117">
        <v>0</v>
      </c>
      <c r="M99" s="53">
        <f t="shared" ref="M99:M130" si="40">IF(L99&lt;&gt;0,+H99-L99,0)</f>
        <v>0</v>
      </c>
      <c r="N99" s="117">
        <v>0</v>
      </c>
      <c r="O99" s="53">
        <f t="shared" ref="O99:O130" si="41">IF(N99&lt;&gt;0,+I99-N99,0)</f>
        <v>0</v>
      </c>
      <c r="P99" s="53">
        <f t="shared" ref="P99:P130" si="42">+O99-M99</f>
        <v>0</v>
      </c>
    </row>
    <row r="100" spans="1:16">
      <c r="B100" s="7" t="str">
        <f>IF(D100=F99,"","IU")</f>
        <v/>
      </c>
      <c r="C100" s="50">
        <f>IF(D93="","-",+C99+1)</f>
        <v>2008</v>
      </c>
      <c r="D100" s="348">
        <v>72551</v>
      </c>
      <c r="E100" s="392">
        <v>1369</v>
      </c>
      <c r="F100" s="351">
        <v>71182</v>
      </c>
      <c r="G100" s="351">
        <v>71867</v>
      </c>
      <c r="H100" s="352">
        <v>12785</v>
      </c>
      <c r="I100" s="353">
        <v>12785</v>
      </c>
      <c r="J100" s="54">
        <f t="shared" si="39"/>
        <v>0</v>
      </c>
      <c r="K100" s="54"/>
      <c r="L100" s="350">
        <v>12785</v>
      </c>
      <c r="M100" s="54">
        <f t="shared" si="40"/>
        <v>0</v>
      </c>
      <c r="N100" s="350">
        <v>12785</v>
      </c>
      <c r="O100" s="54">
        <f t="shared" si="41"/>
        <v>0</v>
      </c>
      <c r="P100" s="54">
        <f t="shared" si="42"/>
        <v>0</v>
      </c>
    </row>
    <row r="101" spans="1:16">
      <c r="B101" s="7" t="str">
        <f t="shared" ref="B101:B154" si="43">IF(D101=F100,"","IU")</f>
        <v/>
      </c>
      <c r="C101" s="50">
        <f>IF(D93="","-",+C100+1)</f>
        <v>2009</v>
      </c>
      <c r="D101" s="348">
        <v>71182</v>
      </c>
      <c r="E101" s="352">
        <v>1296</v>
      </c>
      <c r="F101" s="351">
        <v>69886</v>
      </c>
      <c r="G101" s="351">
        <v>70534</v>
      </c>
      <c r="H101" s="352">
        <v>11608.65494705257</v>
      </c>
      <c r="I101" s="353">
        <v>11608.65494705257</v>
      </c>
      <c r="J101" s="54">
        <f t="shared" si="39"/>
        <v>0</v>
      </c>
      <c r="K101" s="54"/>
      <c r="L101" s="379">
        <f t="shared" ref="L101:L106" si="44">H101</f>
        <v>11608.65494705257</v>
      </c>
      <c r="M101" s="380">
        <f t="shared" si="40"/>
        <v>0</v>
      </c>
      <c r="N101" s="379">
        <f t="shared" ref="N101:N106" si="45">I101</f>
        <v>11608.65494705257</v>
      </c>
      <c r="O101" s="54">
        <f t="shared" si="41"/>
        <v>0</v>
      </c>
      <c r="P101" s="54">
        <f t="shared" si="42"/>
        <v>0</v>
      </c>
    </row>
    <row r="102" spans="1:16">
      <c r="B102" s="7" t="str">
        <f t="shared" si="43"/>
        <v/>
      </c>
      <c r="C102" s="50">
        <f>IF(D93="","-",+C101+1)</f>
        <v>2010</v>
      </c>
      <c r="D102" s="348">
        <v>69886</v>
      </c>
      <c r="E102" s="352">
        <v>1423</v>
      </c>
      <c r="F102" s="351">
        <v>68463</v>
      </c>
      <c r="G102" s="351">
        <v>69174.5</v>
      </c>
      <c r="H102" s="352">
        <v>12547.312556925655</v>
      </c>
      <c r="I102" s="353">
        <v>12547.312556925655</v>
      </c>
      <c r="J102" s="54">
        <f t="shared" si="39"/>
        <v>0</v>
      </c>
      <c r="K102" s="54"/>
      <c r="L102" s="379">
        <f t="shared" si="44"/>
        <v>12547.312556925655</v>
      </c>
      <c r="M102" s="380">
        <f t="shared" si="40"/>
        <v>0</v>
      </c>
      <c r="N102" s="379">
        <f t="shared" si="45"/>
        <v>12547.312556925655</v>
      </c>
      <c r="O102" s="54">
        <f t="shared" si="41"/>
        <v>0</v>
      </c>
      <c r="P102" s="54">
        <f t="shared" si="42"/>
        <v>0</v>
      </c>
    </row>
    <row r="103" spans="1:16">
      <c r="B103" s="7" t="str">
        <f t="shared" si="43"/>
        <v/>
      </c>
      <c r="C103" s="50">
        <f>IF(D93="","-",+C102+1)</f>
        <v>2011</v>
      </c>
      <c r="D103" s="348">
        <v>68463</v>
      </c>
      <c r="E103" s="352">
        <v>1395</v>
      </c>
      <c r="F103" s="351">
        <v>67068</v>
      </c>
      <c r="G103" s="351">
        <v>67765.5</v>
      </c>
      <c r="H103" s="352">
        <v>10869.52752826227</v>
      </c>
      <c r="I103" s="353">
        <v>10869.52752826227</v>
      </c>
      <c r="J103" s="54">
        <f t="shared" si="39"/>
        <v>0</v>
      </c>
      <c r="K103" s="54"/>
      <c r="L103" s="379">
        <f t="shared" si="44"/>
        <v>10869.52752826227</v>
      </c>
      <c r="M103" s="380">
        <f t="shared" si="40"/>
        <v>0</v>
      </c>
      <c r="N103" s="379">
        <f t="shared" si="45"/>
        <v>10869.52752826227</v>
      </c>
      <c r="O103" s="54">
        <f t="shared" si="41"/>
        <v>0</v>
      </c>
      <c r="P103" s="54">
        <f t="shared" si="42"/>
        <v>0</v>
      </c>
    </row>
    <row r="104" spans="1:16">
      <c r="B104" s="7" t="str">
        <f t="shared" si="43"/>
        <v/>
      </c>
      <c r="C104" s="50">
        <f>IF(D93="","-",+C103+1)</f>
        <v>2012</v>
      </c>
      <c r="D104" s="348">
        <v>67068</v>
      </c>
      <c r="E104" s="352">
        <v>1395</v>
      </c>
      <c r="F104" s="351">
        <v>65673</v>
      </c>
      <c r="G104" s="351">
        <v>66370.5</v>
      </c>
      <c r="H104" s="352">
        <v>10942.760254640152</v>
      </c>
      <c r="I104" s="353">
        <v>10942.760254640152</v>
      </c>
      <c r="J104" s="54">
        <v>0</v>
      </c>
      <c r="K104" s="54"/>
      <c r="L104" s="379">
        <f t="shared" si="44"/>
        <v>10942.760254640152</v>
      </c>
      <c r="M104" s="380">
        <f t="shared" ref="M104:M109" si="46">IF(L104&lt;&gt;0,+H104-L104,0)</f>
        <v>0</v>
      </c>
      <c r="N104" s="379">
        <f t="shared" si="45"/>
        <v>10942.760254640152</v>
      </c>
      <c r="O104" s="54">
        <f t="shared" ref="O104:O109" si="47">IF(N104&lt;&gt;0,+I104-N104,0)</f>
        <v>0</v>
      </c>
      <c r="P104" s="54">
        <f t="shared" ref="P104:P109" si="48">+O104-M104</f>
        <v>0</v>
      </c>
    </row>
    <row r="105" spans="1:16">
      <c r="B105" s="7" t="str">
        <f t="shared" si="43"/>
        <v/>
      </c>
      <c r="C105" s="50">
        <f>IF(D93="","-",+C104+1)</f>
        <v>2013</v>
      </c>
      <c r="D105" s="348">
        <v>65673</v>
      </c>
      <c r="E105" s="352">
        <v>1395</v>
      </c>
      <c r="F105" s="351">
        <v>64278</v>
      </c>
      <c r="G105" s="351">
        <v>64975.5</v>
      </c>
      <c r="H105" s="352">
        <v>10747.547086020993</v>
      </c>
      <c r="I105" s="353">
        <v>10747.547086020993</v>
      </c>
      <c r="J105" s="54">
        <v>0</v>
      </c>
      <c r="K105" s="54"/>
      <c r="L105" s="379">
        <f t="shared" si="44"/>
        <v>10747.547086020993</v>
      </c>
      <c r="M105" s="380">
        <f t="shared" si="46"/>
        <v>0</v>
      </c>
      <c r="N105" s="379">
        <f t="shared" si="45"/>
        <v>10747.547086020993</v>
      </c>
      <c r="O105" s="54">
        <f t="shared" si="47"/>
        <v>0</v>
      </c>
      <c r="P105" s="54">
        <f t="shared" si="48"/>
        <v>0</v>
      </c>
    </row>
    <row r="106" spans="1:16">
      <c r="B106" s="7" t="str">
        <f t="shared" si="43"/>
        <v/>
      </c>
      <c r="C106" s="50">
        <f>IF(D93="","-",+C105+1)</f>
        <v>2014</v>
      </c>
      <c r="D106" s="348">
        <v>64278</v>
      </c>
      <c r="E106" s="352">
        <v>1395</v>
      </c>
      <c r="F106" s="351">
        <v>62883</v>
      </c>
      <c r="G106" s="351">
        <v>63580.5</v>
      </c>
      <c r="H106" s="352">
        <v>10334.158398344916</v>
      </c>
      <c r="I106" s="353">
        <v>10334.158398344916</v>
      </c>
      <c r="J106" s="54">
        <v>0</v>
      </c>
      <c r="K106" s="54"/>
      <c r="L106" s="379">
        <f t="shared" si="44"/>
        <v>10334.158398344916</v>
      </c>
      <c r="M106" s="380">
        <f t="shared" si="46"/>
        <v>0</v>
      </c>
      <c r="N106" s="379">
        <f t="shared" si="45"/>
        <v>10334.158398344916</v>
      </c>
      <c r="O106" s="54">
        <f t="shared" si="47"/>
        <v>0</v>
      </c>
      <c r="P106" s="54">
        <f t="shared" si="48"/>
        <v>0</v>
      </c>
    </row>
    <row r="107" spans="1:16">
      <c r="B107" s="7" t="str">
        <f t="shared" si="43"/>
        <v/>
      </c>
      <c r="C107" s="50">
        <f>IF(D93="","-",+C106+1)</f>
        <v>2015</v>
      </c>
      <c r="D107" s="348">
        <v>62883</v>
      </c>
      <c r="E107" s="352">
        <v>1395</v>
      </c>
      <c r="F107" s="351">
        <v>61488</v>
      </c>
      <c r="G107" s="351">
        <v>62185.5</v>
      </c>
      <c r="H107" s="352">
        <v>9879.7114789405332</v>
      </c>
      <c r="I107" s="353">
        <v>9879.7114789405332</v>
      </c>
      <c r="J107" s="54">
        <f t="shared" si="39"/>
        <v>0</v>
      </c>
      <c r="K107" s="54"/>
      <c r="L107" s="379">
        <f t="shared" ref="L107:L112" si="49">H107</f>
        <v>9879.7114789405332</v>
      </c>
      <c r="M107" s="380">
        <f t="shared" si="46"/>
        <v>0</v>
      </c>
      <c r="N107" s="379">
        <f t="shared" ref="N107:N112" si="50">I107</f>
        <v>9879.7114789405332</v>
      </c>
      <c r="O107" s="54">
        <f t="shared" si="47"/>
        <v>0</v>
      </c>
      <c r="P107" s="54">
        <f t="shared" si="48"/>
        <v>0</v>
      </c>
    </row>
    <row r="108" spans="1:16">
      <c r="B108" s="7" t="str">
        <f t="shared" si="43"/>
        <v/>
      </c>
      <c r="C108" s="50">
        <f>IF(D93="","-",+C107+1)</f>
        <v>2016</v>
      </c>
      <c r="D108" s="348">
        <v>61488</v>
      </c>
      <c r="E108" s="352">
        <v>1577</v>
      </c>
      <c r="F108" s="351">
        <v>59911</v>
      </c>
      <c r="G108" s="351">
        <v>60699.5</v>
      </c>
      <c r="H108" s="352">
        <v>9402.1214987986186</v>
      </c>
      <c r="I108" s="353">
        <v>9402.1214987986186</v>
      </c>
      <c r="J108" s="54">
        <f t="shared" si="39"/>
        <v>0</v>
      </c>
      <c r="K108" s="54"/>
      <c r="L108" s="379">
        <f t="shared" si="49"/>
        <v>9402.1214987986186</v>
      </c>
      <c r="M108" s="380">
        <f t="shared" si="46"/>
        <v>0</v>
      </c>
      <c r="N108" s="379">
        <f t="shared" si="50"/>
        <v>9402.1214987986186</v>
      </c>
      <c r="O108" s="54">
        <f t="shared" si="47"/>
        <v>0</v>
      </c>
      <c r="P108" s="54">
        <f t="shared" si="48"/>
        <v>0</v>
      </c>
    </row>
    <row r="109" spans="1:16">
      <c r="B109" s="7" t="str">
        <f t="shared" si="43"/>
        <v/>
      </c>
      <c r="C109" s="50">
        <f>IF(D93="","-",+C108+1)</f>
        <v>2017</v>
      </c>
      <c r="D109" s="348">
        <v>59911</v>
      </c>
      <c r="E109" s="352">
        <v>1577</v>
      </c>
      <c r="F109" s="351">
        <v>58334</v>
      </c>
      <c r="G109" s="351">
        <v>59122.5</v>
      </c>
      <c r="H109" s="352">
        <v>9076.8382024367129</v>
      </c>
      <c r="I109" s="353">
        <v>9076.8382024367129</v>
      </c>
      <c r="J109" s="54">
        <f t="shared" si="39"/>
        <v>0</v>
      </c>
      <c r="K109" s="54"/>
      <c r="L109" s="379">
        <f t="shared" si="49"/>
        <v>9076.8382024367129</v>
      </c>
      <c r="M109" s="380">
        <f t="shared" si="46"/>
        <v>0</v>
      </c>
      <c r="N109" s="379">
        <f t="shared" si="50"/>
        <v>9076.8382024367129</v>
      </c>
      <c r="O109" s="54">
        <f t="shared" si="47"/>
        <v>0</v>
      </c>
      <c r="P109" s="54">
        <f t="shared" si="48"/>
        <v>0</v>
      </c>
    </row>
    <row r="110" spans="1:16">
      <c r="B110" s="7" t="str">
        <f t="shared" si="43"/>
        <v/>
      </c>
      <c r="C110" s="50">
        <f>IF(D93="","-",+C109+1)</f>
        <v>2018</v>
      </c>
      <c r="D110" s="348">
        <v>58334</v>
      </c>
      <c r="E110" s="352">
        <v>1687</v>
      </c>
      <c r="F110" s="351">
        <v>56647</v>
      </c>
      <c r="G110" s="351">
        <v>57490.5</v>
      </c>
      <c r="H110" s="352">
        <v>7593.3191046629281</v>
      </c>
      <c r="I110" s="353">
        <v>7593.3191046629281</v>
      </c>
      <c r="J110" s="54">
        <f t="shared" si="39"/>
        <v>0</v>
      </c>
      <c r="K110" s="54"/>
      <c r="L110" s="379">
        <f t="shared" si="49"/>
        <v>7593.3191046629281</v>
      </c>
      <c r="M110" s="380">
        <f t="shared" ref="M110" si="51">IF(L110&lt;&gt;0,+H110-L110,0)</f>
        <v>0</v>
      </c>
      <c r="N110" s="379">
        <f t="shared" si="50"/>
        <v>7593.3191046629281</v>
      </c>
      <c r="O110" s="54">
        <f t="shared" ref="O110" si="52">IF(N110&lt;&gt;0,+I110-N110,0)</f>
        <v>0</v>
      </c>
      <c r="P110" s="54">
        <f t="shared" ref="P110" si="53">+O110-M110</f>
        <v>0</v>
      </c>
    </row>
    <row r="111" spans="1:16">
      <c r="B111" s="7" t="str">
        <f t="shared" si="43"/>
        <v/>
      </c>
      <c r="C111" s="50">
        <f>IF(D93="","-",+C110+1)</f>
        <v>2019</v>
      </c>
      <c r="D111" s="348">
        <v>56647</v>
      </c>
      <c r="E111" s="352">
        <v>1770</v>
      </c>
      <c r="F111" s="351">
        <v>54877</v>
      </c>
      <c r="G111" s="351">
        <v>55762</v>
      </c>
      <c r="H111" s="352">
        <v>7519.8443223081076</v>
      </c>
      <c r="I111" s="353">
        <v>7519.8443223081076</v>
      </c>
      <c r="J111" s="54">
        <f t="shared" si="39"/>
        <v>0</v>
      </c>
      <c r="K111" s="54"/>
      <c r="L111" s="379">
        <f t="shared" si="49"/>
        <v>7519.8443223081076</v>
      </c>
      <c r="M111" s="380">
        <f t="shared" ref="M111" si="54">IF(L111&lt;&gt;0,+H111-L111,0)</f>
        <v>0</v>
      </c>
      <c r="N111" s="379">
        <f t="shared" si="50"/>
        <v>7519.8443223081076</v>
      </c>
      <c r="O111" s="54">
        <f t="shared" si="41"/>
        <v>0</v>
      </c>
      <c r="P111" s="54">
        <f t="shared" si="42"/>
        <v>0</v>
      </c>
    </row>
    <row r="112" spans="1:16">
      <c r="B112" s="7" t="str">
        <f t="shared" si="43"/>
        <v/>
      </c>
      <c r="C112" s="50">
        <f>IF(D93="","-",+C111+1)</f>
        <v>2020</v>
      </c>
      <c r="D112" s="348">
        <v>54877</v>
      </c>
      <c r="E112" s="352">
        <v>1687</v>
      </c>
      <c r="F112" s="351">
        <v>53190</v>
      </c>
      <c r="G112" s="351">
        <v>54033.5</v>
      </c>
      <c r="H112" s="352">
        <v>7916.9139971406776</v>
      </c>
      <c r="I112" s="353">
        <v>7916.9139971406776</v>
      </c>
      <c r="J112" s="54">
        <f t="shared" si="39"/>
        <v>0</v>
      </c>
      <c r="K112" s="54"/>
      <c r="L112" s="379">
        <f t="shared" si="49"/>
        <v>7916.9139971406776</v>
      </c>
      <c r="M112" s="380">
        <f t="shared" ref="M112" si="55">IF(L112&lt;&gt;0,+H112-L112,0)</f>
        <v>0</v>
      </c>
      <c r="N112" s="379">
        <f t="shared" si="50"/>
        <v>7916.9139971406776</v>
      </c>
      <c r="O112" s="54">
        <f t="shared" si="41"/>
        <v>0</v>
      </c>
      <c r="P112" s="54">
        <f t="shared" si="42"/>
        <v>0</v>
      </c>
    </row>
    <row r="113" spans="2:16">
      <c r="B113" s="7" t="str">
        <f t="shared" si="43"/>
        <v/>
      </c>
      <c r="C113" s="50">
        <f>IF(D93="","-",+C112+1)</f>
        <v>2021</v>
      </c>
      <c r="D113" s="348">
        <v>53190</v>
      </c>
      <c r="E113" s="352">
        <v>1770</v>
      </c>
      <c r="F113" s="351">
        <v>51420</v>
      </c>
      <c r="G113" s="351">
        <v>52305</v>
      </c>
      <c r="H113" s="352">
        <v>7721.9320395107143</v>
      </c>
      <c r="I113" s="353">
        <v>7721.9320395107143</v>
      </c>
      <c r="J113" s="54">
        <f t="shared" si="39"/>
        <v>0</v>
      </c>
      <c r="K113" s="54"/>
      <c r="L113" s="379">
        <f t="shared" ref="L113" si="56">H113</f>
        <v>7721.9320395107143</v>
      </c>
      <c r="M113" s="380">
        <f t="shared" ref="M113" si="57">IF(L113&lt;&gt;0,+H113-L113,0)</f>
        <v>0</v>
      </c>
      <c r="N113" s="379">
        <f t="shared" ref="N113" si="58">I113</f>
        <v>7721.9320395107143</v>
      </c>
      <c r="O113" s="54">
        <f t="shared" si="41"/>
        <v>0</v>
      </c>
      <c r="P113" s="54">
        <f t="shared" si="42"/>
        <v>0</v>
      </c>
    </row>
    <row r="114" spans="2:16">
      <c r="B114" s="7" t="str">
        <f t="shared" si="43"/>
        <v/>
      </c>
      <c r="C114" s="50">
        <f>IF(D93="","-",+C113+1)</f>
        <v>2022</v>
      </c>
      <c r="D114" s="348">
        <v>51420</v>
      </c>
      <c r="E114" s="352">
        <v>1860</v>
      </c>
      <c r="F114" s="351">
        <v>49560</v>
      </c>
      <c r="G114" s="351">
        <v>50490</v>
      </c>
      <c r="H114" s="352">
        <v>7423.1221436915575</v>
      </c>
      <c r="I114" s="353">
        <v>7423.1221436915575</v>
      </c>
      <c r="J114" s="54">
        <f t="shared" si="39"/>
        <v>0</v>
      </c>
      <c r="K114" s="54"/>
      <c r="L114" s="379">
        <f t="shared" ref="L114" si="59">H114</f>
        <v>7423.1221436915575</v>
      </c>
      <c r="M114" s="380">
        <f t="shared" ref="M114" si="60">IF(L114&lt;&gt;0,+H114-L114,0)</f>
        <v>0</v>
      </c>
      <c r="N114" s="379">
        <f t="shared" ref="N114" si="61">I114</f>
        <v>7423.1221436915575</v>
      </c>
      <c r="O114" s="54">
        <f t="shared" ref="O114" si="62">IF(N114&lt;&gt;0,+I114-N114,0)</f>
        <v>0</v>
      </c>
      <c r="P114" s="54">
        <f t="shared" ref="P114" si="63">+O114-M114</f>
        <v>0</v>
      </c>
    </row>
    <row r="115" spans="2:16">
      <c r="B115" s="7" t="str">
        <f t="shared" si="43"/>
        <v/>
      </c>
      <c r="C115" s="50">
        <f>IF(D93="","-",+C114+1)</f>
        <v>2023</v>
      </c>
      <c r="D115" s="348">
        <v>49560</v>
      </c>
      <c r="E115" s="352">
        <v>1909</v>
      </c>
      <c r="F115" s="351">
        <v>47651</v>
      </c>
      <c r="G115" s="351">
        <v>48605.5</v>
      </c>
      <c r="H115" s="352">
        <v>7461.0630272870476</v>
      </c>
      <c r="I115" s="353">
        <v>7461.0630272870476</v>
      </c>
      <c r="J115" s="54">
        <f t="shared" si="39"/>
        <v>0</v>
      </c>
      <c r="K115" s="54"/>
      <c r="L115" s="379">
        <f t="shared" ref="L115" si="64">H115</f>
        <v>7461.0630272870476</v>
      </c>
      <c r="M115" s="380">
        <f t="shared" ref="M115" si="65">IF(L115&lt;&gt;0,+H115-L115,0)</f>
        <v>0</v>
      </c>
      <c r="N115" s="379">
        <f t="shared" ref="N115" si="66">I115</f>
        <v>7461.0630272870476</v>
      </c>
      <c r="O115" s="54">
        <f t="shared" ref="O115" si="67">IF(N115&lt;&gt;0,+I115-N115,0)</f>
        <v>0</v>
      </c>
      <c r="P115" s="54">
        <f t="shared" ref="P115" si="68">+O115-M115</f>
        <v>0</v>
      </c>
    </row>
    <row r="116" spans="2:16">
      <c r="B116" s="7" t="str">
        <f t="shared" si="43"/>
        <v/>
      </c>
      <c r="C116" s="50">
        <f>IF(D93="","-",+C115+1)</f>
        <v>2024</v>
      </c>
      <c r="D116" s="348">
        <v>47651</v>
      </c>
      <c r="E116" s="352">
        <v>1961</v>
      </c>
      <c r="F116" s="351">
        <v>45690</v>
      </c>
      <c r="G116" s="351">
        <v>46670.5</v>
      </c>
      <c r="H116" s="352">
        <v>8229.7213437312821</v>
      </c>
      <c r="I116" s="353">
        <v>8229.7213437312821</v>
      </c>
      <c r="J116" s="54">
        <f t="shared" si="39"/>
        <v>0</v>
      </c>
      <c r="K116" s="54"/>
      <c r="L116" s="379">
        <f t="shared" ref="L116" si="69">H116</f>
        <v>8229.7213437312821</v>
      </c>
      <c r="M116" s="380">
        <f t="shared" ref="M116" si="70">IF(L116&lt;&gt;0,+H116-L116,0)</f>
        <v>0</v>
      </c>
      <c r="N116" s="379">
        <f t="shared" ref="N116" si="71">I116</f>
        <v>8229.7213437312821</v>
      </c>
      <c r="O116" s="54">
        <f t="shared" ref="O116" si="72">IF(N116&lt;&gt;0,+I116-N116,0)</f>
        <v>0</v>
      </c>
      <c r="P116" s="54">
        <f t="shared" ref="P116" si="73">+O116-M116</f>
        <v>0</v>
      </c>
    </row>
    <row r="117" spans="2:16">
      <c r="B117" s="7" t="str">
        <f t="shared" si="43"/>
        <v/>
      </c>
      <c r="C117" s="50">
        <f>IF(D93="","-",+C116+1)</f>
        <v>2025</v>
      </c>
      <c r="D117" s="12">
        <f>IF(F116+SUM(E$99:E116)=D$92,F116,D$92-SUM(E$99:E116))</f>
        <v>45690</v>
      </c>
      <c r="E117" s="355">
        <f>IF(+J96&lt;F116,J96,D117)</f>
        <v>1961</v>
      </c>
      <c r="F117" s="55">
        <f t="shared" ref="F117:F154" si="74">+D117-E117</f>
        <v>43729</v>
      </c>
      <c r="G117" s="55">
        <f t="shared" ref="G117:G154" si="75">+(F117+D117)/2</f>
        <v>44709.5</v>
      </c>
      <c r="H117" s="355">
        <f t="shared" ref="H117:H153" si="76">(D117+F117)/2*J$94+E117</f>
        <v>7309.1989744325929</v>
      </c>
      <c r="I117" s="381">
        <f t="shared" ref="I117:I153" si="77">+J$95*G117+E117</f>
        <v>7309.1989744325929</v>
      </c>
      <c r="J117" s="54">
        <f t="shared" si="39"/>
        <v>0</v>
      </c>
      <c r="K117" s="54"/>
      <c r="L117" s="115"/>
      <c r="M117" s="54">
        <f t="shared" si="40"/>
        <v>0</v>
      </c>
      <c r="N117" s="115"/>
      <c r="O117" s="54">
        <f t="shared" si="41"/>
        <v>0</v>
      </c>
      <c r="P117" s="54">
        <f t="shared" si="42"/>
        <v>0</v>
      </c>
    </row>
    <row r="118" spans="2:16">
      <c r="B118" s="7" t="str">
        <f t="shared" si="43"/>
        <v/>
      </c>
      <c r="C118" s="50">
        <f>IF(D93="","-",+C117+1)</f>
        <v>2026</v>
      </c>
      <c r="D118" s="12">
        <f>IF(F117+SUM(E$99:E117)=D$92,F117,D$92-SUM(E$99:E117))</f>
        <v>43729</v>
      </c>
      <c r="E118" s="355">
        <f>IF(+J96&lt;F117,J96,D118)</f>
        <v>1961</v>
      </c>
      <c r="F118" s="55">
        <f t="shared" si="74"/>
        <v>41768</v>
      </c>
      <c r="G118" s="55">
        <f t="shared" si="75"/>
        <v>42748.5</v>
      </c>
      <c r="H118" s="355">
        <f t="shared" si="76"/>
        <v>7074.6220234744678</v>
      </c>
      <c r="I118" s="381">
        <f t="shared" si="77"/>
        <v>7074.6220234744678</v>
      </c>
      <c r="J118" s="54">
        <f t="shared" si="39"/>
        <v>0</v>
      </c>
      <c r="K118" s="54"/>
      <c r="L118" s="115"/>
      <c r="M118" s="54">
        <f t="shared" si="40"/>
        <v>0</v>
      </c>
      <c r="N118" s="115"/>
      <c r="O118" s="54">
        <f t="shared" si="41"/>
        <v>0</v>
      </c>
      <c r="P118" s="54">
        <f t="shared" si="42"/>
        <v>0</v>
      </c>
    </row>
    <row r="119" spans="2:16">
      <c r="B119" s="7" t="str">
        <f t="shared" si="43"/>
        <v/>
      </c>
      <c r="C119" s="50">
        <f>IF(D93="","-",+C118+1)</f>
        <v>2027</v>
      </c>
      <c r="D119" s="12">
        <f>IF(F118+SUM(E$99:E118)=D$92,F118,D$92-SUM(E$99:E118))</f>
        <v>41768</v>
      </c>
      <c r="E119" s="355">
        <f>IF(+J96&lt;F118,J96,D119)</f>
        <v>1961</v>
      </c>
      <c r="F119" s="55">
        <f t="shared" si="74"/>
        <v>39807</v>
      </c>
      <c r="G119" s="55">
        <f t="shared" si="75"/>
        <v>40787.5</v>
      </c>
      <c r="H119" s="355">
        <f t="shared" si="76"/>
        <v>6840.0450725163419</v>
      </c>
      <c r="I119" s="381">
        <f t="shared" si="77"/>
        <v>6840.0450725163419</v>
      </c>
      <c r="J119" s="54">
        <f t="shared" si="39"/>
        <v>0</v>
      </c>
      <c r="K119" s="54"/>
      <c r="L119" s="115"/>
      <c r="M119" s="54">
        <f t="shared" si="40"/>
        <v>0</v>
      </c>
      <c r="N119" s="115"/>
      <c r="O119" s="54">
        <f t="shared" si="41"/>
        <v>0</v>
      </c>
      <c r="P119" s="54">
        <f t="shared" si="42"/>
        <v>0</v>
      </c>
    </row>
    <row r="120" spans="2:16">
      <c r="B120" s="7" t="str">
        <f t="shared" si="43"/>
        <v/>
      </c>
      <c r="C120" s="50">
        <f>IF(D93="","-",+C119+1)</f>
        <v>2028</v>
      </c>
      <c r="D120" s="12">
        <f>IF(F119+SUM(E$99:E119)=D$92,F119,D$92-SUM(E$99:E119))</f>
        <v>39807</v>
      </c>
      <c r="E120" s="355">
        <f>IF(+J96&lt;F119,J96,D120)</f>
        <v>1961</v>
      </c>
      <c r="F120" s="55">
        <f t="shared" si="74"/>
        <v>37846</v>
      </c>
      <c r="G120" s="55">
        <f t="shared" si="75"/>
        <v>38826.5</v>
      </c>
      <c r="H120" s="355">
        <f t="shared" si="76"/>
        <v>6605.4681215582159</v>
      </c>
      <c r="I120" s="381">
        <f t="shared" si="77"/>
        <v>6605.4681215582159</v>
      </c>
      <c r="J120" s="54">
        <f t="shared" si="39"/>
        <v>0</v>
      </c>
      <c r="K120" s="54"/>
      <c r="L120" s="115"/>
      <c r="M120" s="54">
        <f t="shared" si="40"/>
        <v>0</v>
      </c>
      <c r="N120" s="115"/>
      <c r="O120" s="54">
        <f t="shared" si="41"/>
        <v>0</v>
      </c>
      <c r="P120" s="54">
        <f t="shared" si="42"/>
        <v>0</v>
      </c>
    </row>
    <row r="121" spans="2:16">
      <c r="B121" s="7" t="str">
        <f t="shared" si="43"/>
        <v/>
      </c>
      <c r="C121" s="50">
        <f>IF(D93="","-",+C120+1)</f>
        <v>2029</v>
      </c>
      <c r="D121" s="12">
        <f>IF(F120+SUM(E$99:E120)=D$92,F120,D$92-SUM(E$99:E120))</f>
        <v>37846</v>
      </c>
      <c r="E121" s="355">
        <f>IF(+J96&lt;F120,J96,D121)</f>
        <v>1961</v>
      </c>
      <c r="F121" s="55">
        <f t="shared" si="74"/>
        <v>35885</v>
      </c>
      <c r="G121" s="55">
        <f t="shared" si="75"/>
        <v>36865.5</v>
      </c>
      <c r="H121" s="355">
        <f t="shared" si="76"/>
        <v>6370.8911706000908</v>
      </c>
      <c r="I121" s="381">
        <f t="shared" si="77"/>
        <v>6370.8911706000908</v>
      </c>
      <c r="J121" s="54">
        <f t="shared" si="39"/>
        <v>0</v>
      </c>
      <c r="K121" s="54"/>
      <c r="L121" s="115"/>
      <c r="M121" s="54">
        <f t="shared" si="40"/>
        <v>0</v>
      </c>
      <c r="N121" s="115"/>
      <c r="O121" s="54">
        <f t="shared" si="41"/>
        <v>0</v>
      </c>
      <c r="P121" s="54">
        <f t="shared" si="42"/>
        <v>0</v>
      </c>
    </row>
    <row r="122" spans="2:16">
      <c r="B122" s="7" t="str">
        <f t="shared" si="43"/>
        <v/>
      </c>
      <c r="C122" s="50">
        <f>IF(D93="","-",+C121+1)</f>
        <v>2030</v>
      </c>
      <c r="D122" s="12">
        <f>IF(F121+SUM(E$99:E121)=D$92,F121,D$92-SUM(E$99:E121))</f>
        <v>35885</v>
      </c>
      <c r="E122" s="355">
        <f>IF(+J96&lt;F121,J96,D122)</f>
        <v>1961</v>
      </c>
      <c r="F122" s="55">
        <f t="shared" si="74"/>
        <v>33924</v>
      </c>
      <c r="G122" s="55">
        <f t="shared" si="75"/>
        <v>34904.5</v>
      </c>
      <c r="H122" s="355">
        <f t="shared" si="76"/>
        <v>6136.3142196419649</v>
      </c>
      <c r="I122" s="381">
        <f t="shared" si="77"/>
        <v>6136.3142196419649</v>
      </c>
      <c r="J122" s="54">
        <f t="shared" si="39"/>
        <v>0</v>
      </c>
      <c r="K122" s="54"/>
      <c r="L122" s="115"/>
      <c r="M122" s="54">
        <f t="shared" si="40"/>
        <v>0</v>
      </c>
      <c r="N122" s="115"/>
      <c r="O122" s="54">
        <f t="shared" si="41"/>
        <v>0</v>
      </c>
      <c r="P122" s="54">
        <f t="shared" si="42"/>
        <v>0</v>
      </c>
    </row>
    <row r="123" spans="2:16">
      <c r="B123" s="7" t="str">
        <f t="shared" si="43"/>
        <v/>
      </c>
      <c r="C123" s="50">
        <f>IF(D93="","-",+C122+1)</f>
        <v>2031</v>
      </c>
      <c r="D123" s="12">
        <f>IF(F122+SUM(E$99:E122)=D$92,F122,D$92-SUM(E$99:E122))</f>
        <v>33924</v>
      </c>
      <c r="E123" s="355">
        <f>IF(+J96&lt;F122,J96,D123)</f>
        <v>1961</v>
      </c>
      <c r="F123" s="55">
        <f t="shared" si="74"/>
        <v>31963</v>
      </c>
      <c r="G123" s="55">
        <f t="shared" si="75"/>
        <v>32943.5</v>
      </c>
      <c r="H123" s="355">
        <f t="shared" si="76"/>
        <v>5901.7372686838398</v>
      </c>
      <c r="I123" s="381">
        <f t="shared" si="77"/>
        <v>5901.7372686838398</v>
      </c>
      <c r="J123" s="54">
        <f t="shared" si="39"/>
        <v>0</v>
      </c>
      <c r="K123" s="54"/>
      <c r="L123" s="115"/>
      <c r="M123" s="54">
        <f t="shared" si="40"/>
        <v>0</v>
      </c>
      <c r="N123" s="115"/>
      <c r="O123" s="54">
        <f t="shared" si="41"/>
        <v>0</v>
      </c>
      <c r="P123" s="54">
        <f t="shared" si="42"/>
        <v>0</v>
      </c>
    </row>
    <row r="124" spans="2:16">
      <c r="B124" s="7" t="str">
        <f t="shared" si="43"/>
        <v/>
      </c>
      <c r="C124" s="50">
        <f>IF(D93="","-",+C123+1)</f>
        <v>2032</v>
      </c>
      <c r="D124" s="12">
        <f>IF(F123+SUM(E$99:E123)=D$92,F123,D$92-SUM(E$99:E123))</f>
        <v>31963</v>
      </c>
      <c r="E124" s="355">
        <f>IF(+J96&lt;F123,J96,D124)</f>
        <v>1961</v>
      </c>
      <c r="F124" s="55">
        <f t="shared" si="74"/>
        <v>30002</v>
      </c>
      <c r="G124" s="55">
        <f t="shared" si="75"/>
        <v>30982.5</v>
      </c>
      <c r="H124" s="355">
        <f t="shared" si="76"/>
        <v>5667.1603177257139</v>
      </c>
      <c r="I124" s="381">
        <f t="shared" si="77"/>
        <v>5667.1603177257139</v>
      </c>
      <c r="J124" s="54">
        <f t="shared" si="39"/>
        <v>0</v>
      </c>
      <c r="K124" s="54"/>
      <c r="L124" s="115"/>
      <c r="M124" s="54">
        <f t="shared" si="40"/>
        <v>0</v>
      </c>
      <c r="N124" s="115"/>
      <c r="O124" s="54">
        <f t="shared" si="41"/>
        <v>0</v>
      </c>
      <c r="P124" s="54">
        <f t="shared" si="42"/>
        <v>0</v>
      </c>
    </row>
    <row r="125" spans="2:16">
      <c r="B125" s="7" t="str">
        <f t="shared" si="43"/>
        <v/>
      </c>
      <c r="C125" s="50">
        <f>IF(D93="","-",+C124+1)</f>
        <v>2033</v>
      </c>
      <c r="D125" s="12">
        <f>IF(F124+SUM(E$99:E124)=D$92,F124,D$92-SUM(E$99:E124))</f>
        <v>30002</v>
      </c>
      <c r="E125" s="355">
        <f>IF(+J96&lt;F124,J96,D125)</f>
        <v>1961</v>
      </c>
      <c r="F125" s="55">
        <f t="shared" si="74"/>
        <v>28041</v>
      </c>
      <c r="G125" s="55">
        <f t="shared" si="75"/>
        <v>29021.5</v>
      </c>
      <c r="H125" s="355">
        <f t="shared" si="76"/>
        <v>5432.5833667675888</v>
      </c>
      <c r="I125" s="381">
        <f t="shared" si="77"/>
        <v>5432.5833667675888</v>
      </c>
      <c r="J125" s="54">
        <f t="shared" si="39"/>
        <v>0</v>
      </c>
      <c r="K125" s="54"/>
      <c r="L125" s="115"/>
      <c r="M125" s="54">
        <f t="shared" si="40"/>
        <v>0</v>
      </c>
      <c r="N125" s="115"/>
      <c r="O125" s="54">
        <f t="shared" si="41"/>
        <v>0</v>
      </c>
      <c r="P125" s="54">
        <f t="shared" si="42"/>
        <v>0</v>
      </c>
    </row>
    <row r="126" spans="2:16">
      <c r="B126" s="7" t="str">
        <f t="shared" si="43"/>
        <v/>
      </c>
      <c r="C126" s="50">
        <f>IF(D93="","-",+C125+1)</f>
        <v>2034</v>
      </c>
      <c r="D126" s="12">
        <f>IF(F125+SUM(E$99:E125)=D$92,F125,D$92-SUM(E$99:E125))</f>
        <v>28041</v>
      </c>
      <c r="E126" s="355">
        <f>IF(+J96&lt;F125,J96,D126)</f>
        <v>1961</v>
      </c>
      <c r="F126" s="55">
        <f t="shared" si="74"/>
        <v>26080</v>
      </c>
      <c r="G126" s="55">
        <f t="shared" si="75"/>
        <v>27060.5</v>
      </c>
      <c r="H126" s="355">
        <f t="shared" si="76"/>
        <v>5198.0064158094629</v>
      </c>
      <c r="I126" s="381">
        <f t="shared" si="77"/>
        <v>5198.0064158094629</v>
      </c>
      <c r="J126" s="54">
        <f t="shared" si="39"/>
        <v>0</v>
      </c>
      <c r="K126" s="54"/>
      <c r="L126" s="115"/>
      <c r="M126" s="54">
        <f t="shared" si="40"/>
        <v>0</v>
      </c>
      <c r="N126" s="115"/>
      <c r="O126" s="54">
        <f t="shared" si="41"/>
        <v>0</v>
      </c>
      <c r="P126" s="54">
        <f t="shared" si="42"/>
        <v>0</v>
      </c>
    </row>
    <row r="127" spans="2:16">
      <c r="B127" s="7" t="str">
        <f t="shared" si="43"/>
        <v/>
      </c>
      <c r="C127" s="50">
        <f>IF(D93="","-",+C126+1)</f>
        <v>2035</v>
      </c>
      <c r="D127" s="12">
        <f>IF(F126+SUM(E$99:E126)=D$92,F126,D$92-SUM(E$99:E126))</f>
        <v>26080</v>
      </c>
      <c r="E127" s="355">
        <f>IF(+J96&lt;F126,J96,D127)</f>
        <v>1961</v>
      </c>
      <c r="F127" s="55">
        <f t="shared" si="74"/>
        <v>24119</v>
      </c>
      <c r="G127" s="55">
        <f t="shared" si="75"/>
        <v>25099.5</v>
      </c>
      <c r="H127" s="355">
        <f t="shared" si="76"/>
        <v>4963.4294648513369</v>
      </c>
      <c r="I127" s="381">
        <f t="shared" si="77"/>
        <v>4963.4294648513369</v>
      </c>
      <c r="J127" s="54">
        <f t="shared" si="39"/>
        <v>0</v>
      </c>
      <c r="K127" s="54"/>
      <c r="L127" s="115"/>
      <c r="M127" s="54">
        <f t="shared" si="40"/>
        <v>0</v>
      </c>
      <c r="N127" s="115"/>
      <c r="O127" s="54">
        <f t="shared" si="41"/>
        <v>0</v>
      </c>
      <c r="P127" s="54">
        <f t="shared" si="42"/>
        <v>0</v>
      </c>
    </row>
    <row r="128" spans="2:16">
      <c r="B128" s="7" t="str">
        <f t="shared" si="43"/>
        <v/>
      </c>
      <c r="C128" s="50">
        <f>IF(D93="","-",+C127+1)</f>
        <v>2036</v>
      </c>
      <c r="D128" s="12">
        <f>IF(F127+SUM(E$99:E127)=D$92,F127,D$92-SUM(E$99:E127))</f>
        <v>24119</v>
      </c>
      <c r="E128" s="355">
        <f>IF(+J96&lt;F127,J96,D128)</f>
        <v>1961</v>
      </c>
      <c r="F128" s="55">
        <f t="shared" si="74"/>
        <v>22158</v>
      </c>
      <c r="G128" s="55">
        <f t="shared" si="75"/>
        <v>23138.5</v>
      </c>
      <c r="H128" s="355">
        <f t="shared" si="76"/>
        <v>4728.8525138932118</v>
      </c>
      <c r="I128" s="381">
        <f t="shared" si="77"/>
        <v>4728.8525138932118</v>
      </c>
      <c r="J128" s="54">
        <f t="shared" si="39"/>
        <v>0</v>
      </c>
      <c r="K128" s="54"/>
      <c r="L128" s="115"/>
      <c r="M128" s="54">
        <f t="shared" si="40"/>
        <v>0</v>
      </c>
      <c r="N128" s="115"/>
      <c r="O128" s="54">
        <f t="shared" si="41"/>
        <v>0</v>
      </c>
      <c r="P128" s="54">
        <f t="shared" si="42"/>
        <v>0</v>
      </c>
    </row>
    <row r="129" spans="2:16">
      <c r="B129" s="7" t="str">
        <f t="shared" si="43"/>
        <v/>
      </c>
      <c r="C129" s="50">
        <f>IF(D93="","-",+C128+1)</f>
        <v>2037</v>
      </c>
      <c r="D129" s="12">
        <f>IF(F128+SUM(E$99:E128)=D$92,F128,D$92-SUM(E$99:E128))</f>
        <v>22158</v>
      </c>
      <c r="E129" s="355">
        <f>IF(+J96&lt;F128,J96,D129)</f>
        <v>1961</v>
      </c>
      <c r="F129" s="55">
        <f t="shared" si="74"/>
        <v>20197</v>
      </c>
      <c r="G129" s="55">
        <f t="shared" si="75"/>
        <v>21177.5</v>
      </c>
      <c r="H129" s="355">
        <f t="shared" si="76"/>
        <v>4494.2755629350868</v>
      </c>
      <c r="I129" s="381">
        <f t="shared" si="77"/>
        <v>4494.2755629350868</v>
      </c>
      <c r="J129" s="54">
        <f t="shared" si="39"/>
        <v>0</v>
      </c>
      <c r="K129" s="54"/>
      <c r="L129" s="115"/>
      <c r="M129" s="54">
        <f t="shared" si="40"/>
        <v>0</v>
      </c>
      <c r="N129" s="115"/>
      <c r="O129" s="54">
        <f t="shared" si="41"/>
        <v>0</v>
      </c>
      <c r="P129" s="54">
        <f t="shared" si="42"/>
        <v>0</v>
      </c>
    </row>
    <row r="130" spans="2:16">
      <c r="B130" s="7" t="str">
        <f t="shared" si="43"/>
        <v/>
      </c>
      <c r="C130" s="50">
        <f>IF(D93="","-",+C129+1)</f>
        <v>2038</v>
      </c>
      <c r="D130" s="12">
        <f>IF(F129+SUM(E$99:E129)=D$92,F129,D$92-SUM(E$99:E129))</f>
        <v>20197</v>
      </c>
      <c r="E130" s="355">
        <f>IF(+J96&lt;F129,J96,D130)</f>
        <v>1961</v>
      </c>
      <c r="F130" s="55">
        <f t="shared" si="74"/>
        <v>18236</v>
      </c>
      <c r="G130" s="55">
        <f t="shared" si="75"/>
        <v>19216.5</v>
      </c>
      <c r="H130" s="355">
        <f t="shared" si="76"/>
        <v>4259.6986119769608</v>
      </c>
      <c r="I130" s="381">
        <f t="shared" si="77"/>
        <v>4259.6986119769608</v>
      </c>
      <c r="J130" s="54">
        <f t="shared" si="39"/>
        <v>0</v>
      </c>
      <c r="K130" s="54"/>
      <c r="L130" s="115"/>
      <c r="M130" s="54">
        <f t="shared" si="40"/>
        <v>0</v>
      </c>
      <c r="N130" s="115"/>
      <c r="O130" s="54">
        <f t="shared" si="41"/>
        <v>0</v>
      </c>
      <c r="P130" s="54">
        <f t="shared" si="42"/>
        <v>0</v>
      </c>
    </row>
    <row r="131" spans="2:16">
      <c r="B131" s="7" t="str">
        <f t="shared" si="43"/>
        <v/>
      </c>
      <c r="C131" s="50">
        <f>IF(D93="","-",+C130+1)</f>
        <v>2039</v>
      </c>
      <c r="D131" s="12">
        <f>IF(F130+SUM(E$99:E130)=D$92,F130,D$92-SUM(E$99:E130))</f>
        <v>18236</v>
      </c>
      <c r="E131" s="355">
        <f>IF(+J96&lt;F130,J96,D131)</f>
        <v>1961</v>
      </c>
      <c r="F131" s="55">
        <f t="shared" si="74"/>
        <v>16275</v>
      </c>
      <c r="G131" s="55">
        <f t="shared" si="75"/>
        <v>17255.5</v>
      </c>
      <c r="H131" s="355">
        <f t="shared" si="76"/>
        <v>4025.1216610188353</v>
      </c>
      <c r="I131" s="381">
        <f t="shared" si="77"/>
        <v>4025.1216610188353</v>
      </c>
      <c r="J131" s="54">
        <f t="shared" ref="J131:J154" si="78">+I541-H541</f>
        <v>0</v>
      </c>
      <c r="K131" s="54"/>
      <c r="L131" s="115"/>
      <c r="M131" s="54">
        <f t="shared" ref="M131:M154" si="79">IF(L541&lt;&gt;0,+H541-L541,0)</f>
        <v>0</v>
      </c>
      <c r="N131" s="115"/>
      <c r="O131" s="54">
        <f t="shared" ref="O131:O154" si="80">IF(N541&lt;&gt;0,+I541-N541,0)</f>
        <v>0</v>
      </c>
      <c r="P131" s="54">
        <f t="shared" ref="P131:P154" si="81">+O541-M541</f>
        <v>0</v>
      </c>
    </row>
    <row r="132" spans="2:16">
      <c r="B132" s="7" t="str">
        <f t="shared" si="43"/>
        <v/>
      </c>
      <c r="C132" s="50">
        <f>IF(D93="","-",+C131+1)</f>
        <v>2040</v>
      </c>
      <c r="D132" s="12">
        <f>IF(F131+SUM(E$99:E131)=D$92,F131,D$92-SUM(E$99:E131))</f>
        <v>16275</v>
      </c>
      <c r="E132" s="355">
        <f>IF(+J96&lt;F131,J96,D132)</f>
        <v>1961</v>
      </c>
      <c r="F132" s="55">
        <f t="shared" si="74"/>
        <v>14314</v>
      </c>
      <c r="G132" s="55">
        <f t="shared" si="75"/>
        <v>15294.5</v>
      </c>
      <c r="H132" s="355">
        <f t="shared" si="76"/>
        <v>3790.5447100607098</v>
      </c>
      <c r="I132" s="381">
        <f t="shared" si="77"/>
        <v>3790.5447100607098</v>
      </c>
      <c r="J132" s="54">
        <f t="shared" si="78"/>
        <v>0</v>
      </c>
      <c r="K132" s="54"/>
      <c r="L132" s="115"/>
      <c r="M132" s="54">
        <f t="shared" si="79"/>
        <v>0</v>
      </c>
      <c r="N132" s="115"/>
      <c r="O132" s="54">
        <f t="shared" si="80"/>
        <v>0</v>
      </c>
      <c r="P132" s="54">
        <f t="shared" si="81"/>
        <v>0</v>
      </c>
    </row>
    <row r="133" spans="2:16">
      <c r="B133" s="7" t="str">
        <f t="shared" si="43"/>
        <v/>
      </c>
      <c r="C133" s="50">
        <f>IF(D93="","-",+C132+1)</f>
        <v>2041</v>
      </c>
      <c r="D133" s="12">
        <f>IF(F132+SUM(E$99:E132)=D$92,F132,D$92-SUM(E$99:E132))</f>
        <v>14314</v>
      </c>
      <c r="E133" s="355">
        <f>IF(+J96&lt;F132,J96,D133)</f>
        <v>1961</v>
      </c>
      <c r="F133" s="55">
        <f t="shared" si="74"/>
        <v>12353</v>
      </c>
      <c r="G133" s="55">
        <f t="shared" si="75"/>
        <v>13333.5</v>
      </c>
      <c r="H133" s="355">
        <f t="shared" si="76"/>
        <v>3555.9677591025838</v>
      </c>
      <c r="I133" s="381">
        <f t="shared" si="77"/>
        <v>3555.9677591025838</v>
      </c>
      <c r="J133" s="54">
        <f t="shared" si="78"/>
        <v>0</v>
      </c>
      <c r="K133" s="54"/>
      <c r="L133" s="115"/>
      <c r="M133" s="54">
        <f t="shared" si="79"/>
        <v>0</v>
      </c>
      <c r="N133" s="115"/>
      <c r="O133" s="54">
        <f t="shared" si="80"/>
        <v>0</v>
      </c>
      <c r="P133" s="54">
        <f t="shared" si="81"/>
        <v>0</v>
      </c>
    </row>
    <row r="134" spans="2:16">
      <c r="B134" s="7" t="str">
        <f t="shared" si="43"/>
        <v/>
      </c>
      <c r="C134" s="50">
        <f>IF(D93="","-",+C133+1)</f>
        <v>2042</v>
      </c>
      <c r="D134" s="12">
        <f>IF(F133+SUM(E$99:E133)=D$92,F133,D$92-SUM(E$99:E133))</f>
        <v>12353</v>
      </c>
      <c r="E134" s="355">
        <f>IF(+J96&lt;F133,J96,D134)</f>
        <v>1961</v>
      </c>
      <c r="F134" s="55">
        <f t="shared" si="74"/>
        <v>10392</v>
      </c>
      <c r="G134" s="55">
        <f t="shared" si="75"/>
        <v>11372.5</v>
      </c>
      <c r="H134" s="355">
        <f t="shared" si="76"/>
        <v>3321.3908081444583</v>
      </c>
      <c r="I134" s="381">
        <f t="shared" si="77"/>
        <v>3321.3908081444583</v>
      </c>
      <c r="J134" s="54">
        <f t="shared" si="78"/>
        <v>0</v>
      </c>
      <c r="K134" s="54"/>
      <c r="L134" s="115"/>
      <c r="M134" s="54">
        <f t="shared" si="79"/>
        <v>0</v>
      </c>
      <c r="N134" s="115"/>
      <c r="O134" s="54">
        <f t="shared" si="80"/>
        <v>0</v>
      </c>
      <c r="P134" s="54">
        <f t="shared" si="81"/>
        <v>0</v>
      </c>
    </row>
    <row r="135" spans="2:16">
      <c r="B135" s="7" t="str">
        <f t="shared" si="43"/>
        <v/>
      </c>
      <c r="C135" s="50">
        <f>IF(D93="","-",+C134+1)</f>
        <v>2043</v>
      </c>
      <c r="D135" s="12">
        <f>IF(F134+SUM(E$99:E134)=D$92,F134,D$92-SUM(E$99:E134))</f>
        <v>10392</v>
      </c>
      <c r="E135" s="355">
        <f>IF(+J96&lt;F134,J96,D135)</f>
        <v>1961</v>
      </c>
      <c r="F135" s="55">
        <f t="shared" si="74"/>
        <v>8431</v>
      </c>
      <c r="G135" s="55">
        <f t="shared" si="75"/>
        <v>9411.5</v>
      </c>
      <c r="H135" s="355">
        <f t="shared" si="76"/>
        <v>3086.8138571863328</v>
      </c>
      <c r="I135" s="381">
        <f t="shared" si="77"/>
        <v>3086.8138571863328</v>
      </c>
      <c r="J135" s="54">
        <f t="shared" si="78"/>
        <v>0</v>
      </c>
      <c r="K135" s="54"/>
      <c r="L135" s="115"/>
      <c r="M135" s="54">
        <f t="shared" si="79"/>
        <v>0</v>
      </c>
      <c r="N135" s="115"/>
      <c r="O135" s="54">
        <f t="shared" si="80"/>
        <v>0</v>
      </c>
      <c r="P135" s="54">
        <f t="shared" si="81"/>
        <v>0</v>
      </c>
    </row>
    <row r="136" spans="2:16">
      <c r="B136" s="7" t="str">
        <f t="shared" si="43"/>
        <v/>
      </c>
      <c r="C136" s="50">
        <f>IF(D93="","-",+C135+1)</f>
        <v>2044</v>
      </c>
      <c r="D136" s="12">
        <f>IF(F135+SUM(E$99:E135)=D$92,F135,D$92-SUM(E$99:E135))</f>
        <v>8431</v>
      </c>
      <c r="E136" s="355">
        <f>IF(+J96&lt;F135,J96,D136)</f>
        <v>1961</v>
      </c>
      <c r="F136" s="55">
        <f t="shared" si="74"/>
        <v>6470</v>
      </c>
      <c r="G136" s="55">
        <f t="shared" si="75"/>
        <v>7450.5</v>
      </c>
      <c r="H136" s="355">
        <f t="shared" si="76"/>
        <v>2852.2369062282073</v>
      </c>
      <c r="I136" s="381">
        <f t="shared" si="77"/>
        <v>2852.2369062282073</v>
      </c>
      <c r="J136" s="54">
        <f t="shared" si="78"/>
        <v>0</v>
      </c>
      <c r="K136" s="54"/>
      <c r="L136" s="115"/>
      <c r="M136" s="54">
        <f t="shared" si="79"/>
        <v>0</v>
      </c>
      <c r="N136" s="115"/>
      <c r="O136" s="54">
        <f t="shared" si="80"/>
        <v>0</v>
      </c>
      <c r="P136" s="54">
        <f t="shared" si="81"/>
        <v>0</v>
      </c>
    </row>
    <row r="137" spans="2:16">
      <c r="B137" s="7" t="str">
        <f t="shared" si="43"/>
        <v/>
      </c>
      <c r="C137" s="50">
        <f>IF(D93="","-",+C136+1)</f>
        <v>2045</v>
      </c>
      <c r="D137" s="12">
        <f>IF(F136+SUM(E$99:E136)=D$92,F136,D$92-SUM(E$99:E136))</f>
        <v>6470</v>
      </c>
      <c r="E137" s="355">
        <f>IF(+J96&lt;F136,J96,D137)</f>
        <v>1961</v>
      </c>
      <c r="F137" s="55">
        <f t="shared" si="74"/>
        <v>4509</v>
      </c>
      <c r="G137" s="55">
        <f t="shared" si="75"/>
        <v>5489.5</v>
      </c>
      <c r="H137" s="355">
        <f t="shared" si="76"/>
        <v>2617.6599552700818</v>
      </c>
      <c r="I137" s="381">
        <f t="shared" si="77"/>
        <v>2617.6599552700818</v>
      </c>
      <c r="J137" s="54">
        <f t="shared" si="78"/>
        <v>0</v>
      </c>
      <c r="K137" s="54"/>
      <c r="L137" s="115"/>
      <c r="M137" s="54">
        <f t="shared" si="79"/>
        <v>0</v>
      </c>
      <c r="N137" s="115"/>
      <c r="O137" s="54">
        <f t="shared" si="80"/>
        <v>0</v>
      </c>
      <c r="P137" s="54">
        <f t="shared" si="81"/>
        <v>0</v>
      </c>
    </row>
    <row r="138" spans="2:16">
      <c r="B138" s="7" t="str">
        <f t="shared" si="43"/>
        <v/>
      </c>
      <c r="C138" s="50">
        <f>IF(D93="","-",+C137+1)</f>
        <v>2046</v>
      </c>
      <c r="D138" s="12">
        <f>IF(F137+SUM(E$99:E137)=D$92,F137,D$92-SUM(E$99:E137))</f>
        <v>4509</v>
      </c>
      <c r="E138" s="355">
        <f>IF(+J96&lt;F137,J96,D138)</f>
        <v>1961</v>
      </c>
      <c r="F138" s="55">
        <f t="shared" si="74"/>
        <v>2548</v>
      </c>
      <c r="G138" s="55">
        <f t="shared" si="75"/>
        <v>3528.5</v>
      </c>
      <c r="H138" s="355">
        <f t="shared" si="76"/>
        <v>2383.0830043119563</v>
      </c>
      <c r="I138" s="381">
        <f t="shared" si="77"/>
        <v>2383.0830043119563</v>
      </c>
      <c r="J138" s="54">
        <f t="shared" si="78"/>
        <v>0</v>
      </c>
      <c r="K138" s="54"/>
      <c r="L138" s="115"/>
      <c r="M138" s="54">
        <f t="shared" si="79"/>
        <v>0</v>
      </c>
      <c r="N138" s="115"/>
      <c r="O138" s="54">
        <f t="shared" si="80"/>
        <v>0</v>
      </c>
      <c r="P138" s="54">
        <f t="shared" si="81"/>
        <v>0</v>
      </c>
    </row>
    <row r="139" spans="2:16">
      <c r="B139" s="7" t="str">
        <f t="shared" si="43"/>
        <v/>
      </c>
      <c r="C139" s="50">
        <f>IF(D93="","-",+C138+1)</f>
        <v>2047</v>
      </c>
      <c r="D139" s="12">
        <f>IF(F138+SUM(E$99:E138)=D$92,F138,D$92-SUM(E$99:E138))</f>
        <v>2548</v>
      </c>
      <c r="E139" s="355">
        <f>IF(+J96&lt;F138,J96,D139)</f>
        <v>1961</v>
      </c>
      <c r="F139" s="55">
        <f t="shared" si="74"/>
        <v>587</v>
      </c>
      <c r="G139" s="55">
        <f t="shared" si="75"/>
        <v>1567.5</v>
      </c>
      <c r="H139" s="355">
        <f t="shared" si="76"/>
        <v>2148.5060533538308</v>
      </c>
      <c r="I139" s="381">
        <f t="shared" si="77"/>
        <v>2148.5060533538308</v>
      </c>
      <c r="J139" s="54">
        <f t="shared" si="78"/>
        <v>0</v>
      </c>
      <c r="K139" s="54"/>
      <c r="L139" s="115"/>
      <c r="M139" s="54">
        <f t="shared" si="79"/>
        <v>0</v>
      </c>
      <c r="N139" s="115"/>
      <c r="O139" s="54">
        <f t="shared" si="80"/>
        <v>0</v>
      </c>
      <c r="P139" s="54">
        <f t="shared" si="81"/>
        <v>0</v>
      </c>
    </row>
    <row r="140" spans="2:16">
      <c r="B140" s="7" t="str">
        <f t="shared" si="43"/>
        <v/>
      </c>
      <c r="C140" s="50">
        <f>IF(D93="","-",+C139+1)</f>
        <v>2048</v>
      </c>
      <c r="D140" s="12">
        <f>IF(F139+SUM(E$99:E139)=D$92,F139,D$92-SUM(E$99:E139))</f>
        <v>587</v>
      </c>
      <c r="E140" s="355">
        <f>IF(+J96&lt;F139,J96,D140)</f>
        <v>587</v>
      </c>
      <c r="F140" s="55">
        <f t="shared" si="74"/>
        <v>0</v>
      </c>
      <c r="G140" s="55">
        <f t="shared" si="75"/>
        <v>293.5</v>
      </c>
      <c r="H140" s="355">
        <f t="shared" si="76"/>
        <v>622.10878893738391</v>
      </c>
      <c r="I140" s="381">
        <f t="shared" si="77"/>
        <v>622.10878893738391</v>
      </c>
      <c r="J140" s="54">
        <f t="shared" si="78"/>
        <v>0</v>
      </c>
      <c r="K140" s="54"/>
      <c r="L140" s="115"/>
      <c r="M140" s="54">
        <f t="shared" si="79"/>
        <v>0</v>
      </c>
      <c r="N140" s="115"/>
      <c r="O140" s="54">
        <f t="shared" si="80"/>
        <v>0</v>
      </c>
      <c r="P140" s="54">
        <f t="shared" si="81"/>
        <v>0</v>
      </c>
    </row>
    <row r="141" spans="2:16">
      <c r="B141" s="7" t="str">
        <f t="shared" si="43"/>
        <v/>
      </c>
      <c r="C141" s="50">
        <f>IF(D93="","-",+C140+1)</f>
        <v>2049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4"/>
        <v>0</v>
      </c>
      <c r="G141" s="55">
        <f t="shared" si="75"/>
        <v>0</v>
      </c>
      <c r="H141" s="355">
        <f t="shared" si="76"/>
        <v>0</v>
      </c>
      <c r="I141" s="381">
        <f t="shared" si="77"/>
        <v>0</v>
      </c>
      <c r="J141" s="54">
        <f t="shared" si="78"/>
        <v>0</v>
      </c>
      <c r="K141" s="54"/>
      <c r="L141" s="115"/>
      <c r="M141" s="54">
        <f t="shared" si="79"/>
        <v>0</v>
      </c>
      <c r="N141" s="115"/>
      <c r="O141" s="54">
        <f t="shared" si="80"/>
        <v>0</v>
      </c>
      <c r="P141" s="54">
        <f t="shared" si="81"/>
        <v>0</v>
      </c>
    </row>
    <row r="142" spans="2:16">
      <c r="B142" s="7" t="str">
        <f t="shared" si="43"/>
        <v/>
      </c>
      <c r="C142" s="50">
        <f>IF(D93="","-",+C141+1)</f>
        <v>2050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4"/>
        <v>0</v>
      </c>
      <c r="G142" s="55">
        <f t="shared" si="75"/>
        <v>0</v>
      </c>
      <c r="H142" s="355">
        <f t="shared" si="76"/>
        <v>0</v>
      </c>
      <c r="I142" s="381">
        <f t="shared" si="77"/>
        <v>0</v>
      </c>
      <c r="J142" s="54">
        <f t="shared" si="78"/>
        <v>0</v>
      </c>
      <c r="K142" s="54"/>
      <c r="L142" s="115"/>
      <c r="M142" s="54">
        <f t="shared" si="79"/>
        <v>0</v>
      </c>
      <c r="N142" s="115"/>
      <c r="O142" s="54">
        <f t="shared" si="80"/>
        <v>0</v>
      </c>
      <c r="P142" s="54">
        <f t="shared" si="81"/>
        <v>0</v>
      </c>
    </row>
    <row r="143" spans="2:16">
      <c r="B143" s="7" t="str">
        <f t="shared" si="43"/>
        <v/>
      </c>
      <c r="C143" s="50">
        <f>IF(D93="","-",+C142+1)</f>
        <v>2051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4"/>
        <v>0</v>
      </c>
      <c r="G143" s="55">
        <f t="shared" si="75"/>
        <v>0</v>
      </c>
      <c r="H143" s="355">
        <f t="shared" si="76"/>
        <v>0</v>
      </c>
      <c r="I143" s="381">
        <f t="shared" si="77"/>
        <v>0</v>
      </c>
      <c r="J143" s="54">
        <f t="shared" si="78"/>
        <v>0</v>
      </c>
      <c r="K143" s="54"/>
      <c r="L143" s="115"/>
      <c r="M143" s="54">
        <f t="shared" si="79"/>
        <v>0</v>
      </c>
      <c r="N143" s="115"/>
      <c r="O143" s="54">
        <f t="shared" si="80"/>
        <v>0</v>
      </c>
      <c r="P143" s="54">
        <f t="shared" si="81"/>
        <v>0</v>
      </c>
    </row>
    <row r="144" spans="2:16">
      <c r="B144" s="7" t="str">
        <f t="shared" si="43"/>
        <v/>
      </c>
      <c r="C144" s="50">
        <f>IF(D93="","-",+C143+1)</f>
        <v>2052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4"/>
        <v>0</v>
      </c>
      <c r="G144" s="55">
        <f t="shared" si="75"/>
        <v>0</v>
      </c>
      <c r="H144" s="355">
        <f t="shared" si="76"/>
        <v>0</v>
      </c>
      <c r="I144" s="381">
        <f t="shared" si="77"/>
        <v>0</v>
      </c>
      <c r="J144" s="54">
        <f t="shared" si="78"/>
        <v>0</v>
      </c>
      <c r="K144" s="54"/>
      <c r="L144" s="115"/>
      <c r="M144" s="54">
        <f t="shared" si="79"/>
        <v>0</v>
      </c>
      <c r="N144" s="115"/>
      <c r="O144" s="54">
        <f t="shared" si="80"/>
        <v>0</v>
      </c>
      <c r="P144" s="54">
        <f t="shared" si="81"/>
        <v>0</v>
      </c>
    </row>
    <row r="145" spans="2:16">
      <c r="B145" s="7" t="str">
        <f t="shared" si="43"/>
        <v/>
      </c>
      <c r="C145" s="50">
        <f>IF(D93="","-",+C144+1)</f>
        <v>2053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4"/>
        <v>0</v>
      </c>
      <c r="G145" s="55">
        <f t="shared" si="75"/>
        <v>0</v>
      </c>
      <c r="H145" s="355">
        <f t="shared" si="76"/>
        <v>0</v>
      </c>
      <c r="I145" s="381">
        <f t="shared" si="77"/>
        <v>0</v>
      </c>
      <c r="J145" s="54">
        <f t="shared" si="78"/>
        <v>0</v>
      </c>
      <c r="K145" s="54"/>
      <c r="L145" s="115"/>
      <c r="M145" s="54">
        <f t="shared" si="79"/>
        <v>0</v>
      </c>
      <c r="N145" s="115"/>
      <c r="O145" s="54">
        <f t="shared" si="80"/>
        <v>0</v>
      </c>
      <c r="P145" s="54">
        <f t="shared" si="81"/>
        <v>0</v>
      </c>
    </row>
    <row r="146" spans="2:16">
      <c r="B146" s="7" t="str">
        <f t="shared" si="43"/>
        <v/>
      </c>
      <c r="C146" s="50">
        <f>IF(D93="","-",+C145+1)</f>
        <v>2054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4"/>
        <v>0</v>
      </c>
      <c r="G146" s="55">
        <f t="shared" si="75"/>
        <v>0</v>
      </c>
      <c r="H146" s="355">
        <f t="shared" si="76"/>
        <v>0</v>
      </c>
      <c r="I146" s="381">
        <f t="shared" si="77"/>
        <v>0</v>
      </c>
      <c r="J146" s="54">
        <f t="shared" si="78"/>
        <v>0</v>
      </c>
      <c r="K146" s="54"/>
      <c r="L146" s="115"/>
      <c r="M146" s="54">
        <f t="shared" si="79"/>
        <v>0</v>
      </c>
      <c r="N146" s="115"/>
      <c r="O146" s="54">
        <f t="shared" si="80"/>
        <v>0</v>
      </c>
      <c r="P146" s="54">
        <f t="shared" si="81"/>
        <v>0</v>
      </c>
    </row>
    <row r="147" spans="2:16">
      <c r="B147" s="7" t="str">
        <f t="shared" si="43"/>
        <v/>
      </c>
      <c r="C147" s="50">
        <f>IF(D93="","-",+C146+1)</f>
        <v>2055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4"/>
        <v>0</v>
      </c>
      <c r="G147" s="55">
        <f t="shared" si="75"/>
        <v>0</v>
      </c>
      <c r="H147" s="355">
        <f t="shared" si="76"/>
        <v>0</v>
      </c>
      <c r="I147" s="381">
        <f t="shared" si="77"/>
        <v>0</v>
      </c>
      <c r="J147" s="54">
        <f t="shared" si="78"/>
        <v>0</v>
      </c>
      <c r="K147" s="54"/>
      <c r="L147" s="115"/>
      <c r="M147" s="54">
        <f t="shared" si="79"/>
        <v>0</v>
      </c>
      <c r="N147" s="115"/>
      <c r="O147" s="54">
        <f t="shared" si="80"/>
        <v>0</v>
      </c>
      <c r="P147" s="54">
        <f t="shared" si="81"/>
        <v>0</v>
      </c>
    </row>
    <row r="148" spans="2:16">
      <c r="B148" s="7" t="str">
        <f t="shared" si="43"/>
        <v/>
      </c>
      <c r="C148" s="50">
        <f>IF(D93="","-",+C147+1)</f>
        <v>2056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4"/>
        <v>0</v>
      </c>
      <c r="G148" s="55">
        <f t="shared" si="75"/>
        <v>0</v>
      </c>
      <c r="H148" s="355">
        <f t="shared" si="76"/>
        <v>0</v>
      </c>
      <c r="I148" s="381">
        <f t="shared" si="77"/>
        <v>0</v>
      </c>
      <c r="J148" s="54">
        <f t="shared" si="78"/>
        <v>0</v>
      </c>
      <c r="K148" s="54"/>
      <c r="L148" s="115"/>
      <c r="M148" s="54">
        <f t="shared" si="79"/>
        <v>0</v>
      </c>
      <c r="N148" s="115"/>
      <c r="O148" s="54">
        <f t="shared" si="80"/>
        <v>0</v>
      </c>
      <c r="P148" s="54">
        <f t="shared" si="81"/>
        <v>0</v>
      </c>
    </row>
    <row r="149" spans="2:16">
      <c r="B149" s="7" t="str">
        <f t="shared" si="43"/>
        <v/>
      </c>
      <c r="C149" s="50">
        <f>IF(D93="","-",+C148+1)</f>
        <v>2057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4"/>
        <v>0</v>
      </c>
      <c r="G149" s="55">
        <f t="shared" si="75"/>
        <v>0</v>
      </c>
      <c r="H149" s="355">
        <f t="shared" si="76"/>
        <v>0</v>
      </c>
      <c r="I149" s="381">
        <f t="shared" si="77"/>
        <v>0</v>
      </c>
      <c r="J149" s="54">
        <f t="shared" si="78"/>
        <v>0</v>
      </c>
      <c r="K149" s="54"/>
      <c r="L149" s="115"/>
      <c r="M149" s="54">
        <f t="shared" si="79"/>
        <v>0</v>
      </c>
      <c r="N149" s="115"/>
      <c r="O149" s="54">
        <f t="shared" si="80"/>
        <v>0</v>
      </c>
      <c r="P149" s="54">
        <f t="shared" si="81"/>
        <v>0</v>
      </c>
    </row>
    <row r="150" spans="2:16">
      <c r="B150" s="7" t="str">
        <f t="shared" si="43"/>
        <v/>
      </c>
      <c r="C150" s="50">
        <f>IF(D93="","-",+C149+1)</f>
        <v>2058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4"/>
        <v>0</v>
      </c>
      <c r="G150" s="55">
        <f t="shared" si="75"/>
        <v>0</v>
      </c>
      <c r="H150" s="355">
        <f t="shared" si="76"/>
        <v>0</v>
      </c>
      <c r="I150" s="381">
        <f t="shared" si="77"/>
        <v>0</v>
      </c>
      <c r="J150" s="54">
        <f t="shared" si="78"/>
        <v>0</v>
      </c>
      <c r="K150" s="54"/>
      <c r="L150" s="115"/>
      <c r="M150" s="54">
        <f t="shared" si="79"/>
        <v>0</v>
      </c>
      <c r="N150" s="115"/>
      <c r="O150" s="54">
        <f t="shared" si="80"/>
        <v>0</v>
      </c>
      <c r="P150" s="54">
        <f t="shared" si="81"/>
        <v>0</v>
      </c>
    </row>
    <row r="151" spans="2:16">
      <c r="B151" s="7" t="str">
        <f t="shared" si="43"/>
        <v/>
      </c>
      <c r="C151" s="50">
        <f>IF(D93="","-",+C150+1)</f>
        <v>2059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4"/>
        <v>0</v>
      </c>
      <c r="G151" s="55">
        <f t="shared" si="75"/>
        <v>0</v>
      </c>
      <c r="H151" s="355">
        <f t="shared" si="76"/>
        <v>0</v>
      </c>
      <c r="I151" s="381">
        <f t="shared" si="77"/>
        <v>0</v>
      </c>
      <c r="J151" s="54">
        <f t="shared" si="78"/>
        <v>0</v>
      </c>
      <c r="K151" s="54"/>
      <c r="L151" s="115"/>
      <c r="M151" s="54">
        <f t="shared" si="79"/>
        <v>0</v>
      </c>
      <c r="N151" s="115"/>
      <c r="O151" s="54">
        <f t="shared" si="80"/>
        <v>0</v>
      </c>
      <c r="P151" s="54">
        <f t="shared" si="81"/>
        <v>0</v>
      </c>
    </row>
    <row r="152" spans="2:16">
      <c r="B152" s="7" t="str">
        <f t="shared" si="43"/>
        <v/>
      </c>
      <c r="C152" s="50">
        <f>IF(D93="","-",+C151+1)</f>
        <v>2060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4"/>
        <v>0</v>
      </c>
      <c r="G152" s="55">
        <f t="shared" si="75"/>
        <v>0</v>
      </c>
      <c r="H152" s="355">
        <f t="shared" si="76"/>
        <v>0</v>
      </c>
      <c r="I152" s="381">
        <f t="shared" si="77"/>
        <v>0</v>
      </c>
      <c r="J152" s="54">
        <f t="shared" si="78"/>
        <v>0</v>
      </c>
      <c r="K152" s="54"/>
      <c r="L152" s="115"/>
      <c r="M152" s="54">
        <f t="shared" si="79"/>
        <v>0</v>
      </c>
      <c r="N152" s="115"/>
      <c r="O152" s="54">
        <f t="shared" si="80"/>
        <v>0</v>
      </c>
      <c r="P152" s="54">
        <f t="shared" si="81"/>
        <v>0</v>
      </c>
    </row>
    <row r="153" spans="2:16">
      <c r="B153" s="7" t="str">
        <f t="shared" si="43"/>
        <v/>
      </c>
      <c r="C153" s="50">
        <f>IF(D93="","-",+C152+1)</f>
        <v>2061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4"/>
        <v>0</v>
      </c>
      <c r="G153" s="55">
        <f t="shared" si="75"/>
        <v>0</v>
      </c>
      <c r="H153" s="355">
        <f t="shared" si="76"/>
        <v>0</v>
      </c>
      <c r="I153" s="381">
        <f t="shared" si="77"/>
        <v>0</v>
      </c>
      <c r="J153" s="54">
        <f t="shared" si="78"/>
        <v>0</v>
      </c>
      <c r="K153" s="54"/>
      <c r="L153" s="115"/>
      <c r="M153" s="54">
        <f t="shared" si="79"/>
        <v>0</v>
      </c>
      <c r="N153" s="115"/>
      <c r="O153" s="54">
        <f t="shared" si="80"/>
        <v>0</v>
      </c>
      <c r="P153" s="54">
        <f t="shared" si="81"/>
        <v>0</v>
      </c>
    </row>
    <row r="154" spans="2:16" ht="13.5" thickBot="1">
      <c r="B154" s="7" t="str">
        <f t="shared" si="43"/>
        <v/>
      </c>
      <c r="C154" s="58">
        <f>IF(D93="","-",+C153+1)</f>
        <v>2062</v>
      </c>
      <c r="D154" s="59">
        <f>IF(F153+SUM(E$99:E153)=D$92,F153,D$92-SUM(E$99:E153))</f>
        <v>0</v>
      </c>
      <c r="E154" s="382">
        <f>IF(+J96&lt;F153,J96,D154)</f>
        <v>0</v>
      </c>
      <c r="F154" s="59">
        <f t="shared" si="74"/>
        <v>0</v>
      </c>
      <c r="G154" s="59">
        <f t="shared" si="75"/>
        <v>0</v>
      </c>
      <c r="H154" s="358">
        <f t="shared" ref="H154" si="82">+J$94*G154+E154</f>
        <v>0</v>
      </c>
      <c r="I154" s="383">
        <f t="shared" ref="I154" si="83">+J$95*G154+E154</f>
        <v>0</v>
      </c>
      <c r="J154" s="62">
        <f t="shared" si="78"/>
        <v>0</v>
      </c>
      <c r="K154" s="54"/>
      <c r="L154" s="116"/>
      <c r="M154" s="62">
        <f t="shared" si="79"/>
        <v>0</v>
      </c>
      <c r="N154" s="116"/>
      <c r="O154" s="62">
        <f t="shared" si="80"/>
        <v>0</v>
      </c>
      <c r="P154" s="62">
        <f t="shared" si="81"/>
        <v>0</v>
      </c>
    </row>
    <row r="155" spans="2:16">
      <c r="C155" s="12" t="s">
        <v>77</v>
      </c>
      <c r="D155" s="266"/>
      <c r="E155" s="266">
        <f>SUM(E99:E154)</f>
        <v>72551</v>
      </c>
      <c r="F155" s="266"/>
      <c r="G155" s="266"/>
      <c r="H155" s="266">
        <f>SUM(H99:H154)</f>
        <v>277207.26453823596</v>
      </c>
      <c r="I155" s="266">
        <f>SUM(I99:I154)</f>
        <v>277207.26453823596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7" priority="1" stopIfTrue="1" operator="equal">
      <formula>$I$10</formula>
    </cfRule>
  </conditionalFormatting>
  <conditionalFormatting sqref="C99:C154">
    <cfRule type="cellIs" dxfId="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0">
    <tabColor rgb="FFC00000"/>
  </sheetPr>
  <dimension ref="A1:P162"/>
  <sheetViews>
    <sheetView topLeftCell="A2" zoomScaleNormal="100" zoomScaleSheetLayoutView="75" workbookViewId="0">
      <selection activeCell="G94" sqref="G94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10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9711.21052631579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9711.21052631579</v>
      </c>
      <c r="O6" s="1"/>
      <c r="P6" s="1"/>
    </row>
    <row r="7" spans="1:16" ht="13.5" thickBot="1">
      <c r="C7" s="26" t="s">
        <v>46</v>
      </c>
      <c r="D7" s="97" t="s">
        <v>255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221</v>
      </c>
      <c r="E9" s="74" t="s">
        <v>373</v>
      </c>
      <c r="F9" s="514">
        <v>289</v>
      </c>
      <c r="G9" s="32"/>
      <c r="H9" s="32"/>
      <c r="I9" s="33"/>
      <c r="J9" s="34"/>
      <c r="P9" s="1"/>
    </row>
    <row r="10" spans="1:16">
      <c r="C10" s="128" t="s">
        <v>226</v>
      </c>
      <c r="D10" s="335">
        <v>96566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2010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2541.2105263157896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2010</v>
      </c>
      <c r="D17" s="348">
        <v>135400</v>
      </c>
      <c r="E17" s="349">
        <v>1209</v>
      </c>
      <c r="F17" s="348">
        <v>134191</v>
      </c>
      <c r="G17" s="349">
        <v>20572</v>
      </c>
      <c r="H17" s="353">
        <v>20572</v>
      </c>
      <c r="I17" s="52">
        <f t="shared" ref="I17:I48" si="0">H17-G17</f>
        <v>0</v>
      </c>
      <c r="J17" s="52"/>
      <c r="K17" s="117">
        <f t="shared" ref="K17:K22" si="1">G17</f>
        <v>20572</v>
      </c>
      <c r="L17" s="53">
        <f t="shared" ref="L17:L48" si="2">IF(K17&lt;&gt;0,+G17-K17,0)</f>
        <v>0</v>
      </c>
      <c r="M17" s="117">
        <f t="shared" ref="M17:M22" si="3">H17</f>
        <v>20572</v>
      </c>
      <c r="N17" s="53">
        <f t="shared" ref="N17:N48" si="4">IF(M17&lt;&gt;0,+H17-M17,0)</f>
        <v>0</v>
      </c>
      <c r="O17" s="54">
        <f t="shared" ref="O17:O48" si="5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2011</v>
      </c>
      <c r="D18" s="351">
        <v>95357</v>
      </c>
      <c r="E18" s="352">
        <v>1893.4509803921569</v>
      </c>
      <c r="F18" s="351">
        <v>93463.549019607846</v>
      </c>
      <c r="G18" s="352">
        <v>16524.450980392157</v>
      </c>
      <c r="H18" s="353">
        <v>16524.450980392157</v>
      </c>
      <c r="I18" s="52">
        <f t="shared" si="0"/>
        <v>0</v>
      </c>
      <c r="J18" s="52"/>
      <c r="K18" s="350">
        <f t="shared" si="1"/>
        <v>16524.450980392157</v>
      </c>
      <c r="L18" s="54">
        <f t="shared" si="2"/>
        <v>0</v>
      </c>
      <c r="M18" s="350">
        <f t="shared" si="3"/>
        <v>16524.450980392157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/>
      </c>
      <c r="C19" s="50">
        <f>IF(D11="","-",+C18+1)</f>
        <v>2012</v>
      </c>
      <c r="D19" s="351">
        <v>93463.549019607846</v>
      </c>
      <c r="E19" s="352">
        <v>1857.0384615384614</v>
      </c>
      <c r="F19" s="351">
        <v>91606.510558069378</v>
      </c>
      <c r="G19" s="352">
        <v>14609.038461538461</v>
      </c>
      <c r="H19" s="353">
        <v>14609.038461538461</v>
      </c>
      <c r="I19" s="52">
        <f t="shared" si="0"/>
        <v>0</v>
      </c>
      <c r="J19" s="52"/>
      <c r="K19" s="350">
        <f t="shared" si="1"/>
        <v>14609.038461538461</v>
      </c>
      <c r="L19" s="54">
        <f t="shared" si="2"/>
        <v>0</v>
      </c>
      <c r="M19" s="350">
        <f t="shared" si="3"/>
        <v>14609.038461538461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2013</v>
      </c>
      <c r="D20" s="351">
        <v>91606.510558069378</v>
      </c>
      <c r="E20" s="352">
        <v>1857.0384615384614</v>
      </c>
      <c r="F20" s="351">
        <v>89749.47209653091</v>
      </c>
      <c r="G20" s="352">
        <v>14674.038461538461</v>
      </c>
      <c r="H20" s="353">
        <v>14674.038461538461</v>
      </c>
      <c r="I20" s="52">
        <v>0</v>
      </c>
      <c r="J20" s="52"/>
      <c r="K20" s="350">
        <f t="shared" si="1"/>
        <v>14674.038461538461</v>
      </c>
      <c r="L20" s="54">
        <f t="shared" ref="L20:L25" si="7">IF(K20&lt;&gt;0,+G20-K20,0)</f>
        <v>0</v>
      </c>
      <c r="M20" s="350">
        <f t="shared" si="3"/>
        <v>14674.038461538461</v>
      </c>
      <c r="N20" s="54">
        <f t="shared" ref="N20:N25" si="8">IF(M20&lt;&gt;0,+H20-M20,0)</f>
        <v>0</v>
      </c>
      <c r="O20" s="54">
        <f t="shared" ref="O20:O25" si="9">+N20-L20</f>
        <v>0</v>
      </c>
      <c r="P20" s="1"/>
    </row>
    <row r="21" spans="2:16">
      <c r="B21" s="7" t="str">
        <f t="shared" si="6"/>
        <v/>
      </c>
      <c r="C21" s="50">
        <f>IF(D11="","-",+C20+1)</f>
        <v>2014</v>
      </c>
      <c r="D21" s="351">
        <v>89749.47209653091</v>
      </c>
      <c r="E21" s="352">
        <v>1857.0384615384614</v>
      </c>
      <c r="F21" s="351">
        <v>87892.433634992442</v>
      </c>
      <c r="G21" s="352">
        <v>13956.038461538461</v>
      </c>
      <c r="H21" s="353">
        <v>13956.038461538461</v>
      </c>
      <c r="I21" s="52">
        <v>0</v>
      </c>
      <c r="J21" s="52"/>
      <c r="K21" s="350">
        <f t="shared" si="1"/>
        <v>13956.038461538461</v>
      </c>
      <c r="L21" s="54">
        <f t="shared" si="7"/>
        <v>0</v>
      </c>
      <c r="M21" s="350">
        <f t="shared" si="3"/>
        <v>13956.038461538461</v>
      </c>
      <c r="N21" s="54">
        <f t="shared" si="8"/>
        <v>0</v>
      </c>
      <c r="O21" s="54">
        <f t="shared" si="9"/>
        <v>0</v>
      </c>
      <c r="P21" s="1"/>
    </row>
    <row r="22" spans="2:16">
      <c r="B22" s="7" t="str">
        <f t="shared" si="6"/>
        <v/>
      </c>
      <c r="C22" s="50">
        <f>IF(D11="","-",+C21+1)</f>
        <v>2015</v>
      </c>
      <c r="D22" s="351">
        <v>87892.433634992442</v>
      </c>
      <c r="E22" s="352">
        <v>1857.0384615384614</v>
      </c>
      <c r="F22" s="351">
        <v>86035.395173453973</v>
      </c>
      <c r="G22" s="352">
        <v>13719.038461538461</v>
      </c>
      <c r="H22" s="353">
        <v>13719.038461538461</v>
      </c>
      <c r="I22" s="52">
        <v>0</v>
      </c>
      <c r="J22" s="52"/>
      <c r="K22" s="350">
        <f t="shared" si="1"/>
        <v>13719.038461538461</v>
      </c>
      <c r="L22" s="54">
        <f t="shared" si="7"/>
        <v>0</v>
      </c>
      <c r="M22" s="350">
        <f t="shared" si="3"/>
        <v>13719.038461538461</v>
      </c>
      <c r="N22" s="54">
        <f t="shared" si="8"/>
        <v>0</v>
      </c>
      <c r="O22" s="54">
        <f t="shared" si="9"/>
        <v>0</v>
      </c>
      <c r="P22" s="1"/>
    </row>
    <row r="23" spans="2:16">
      <c r="B23" s="7" t="str">
        <f t="shared" si="6"/>
        <v/>
      </c>
      <c r="C23" s="50">
        <f>IF(D11="","-",+C22+1)</f>
        <v>2016</v>
      </c>
      <c r="D23" s="351">
        <v>86035.395173453973</v>
      </c>
      <c r="E23" s="352">
        <v>1857.0384615384614</v>
      </c>
      <c r="F23" s="351">
        <v>84178.356711915505</v>
      </c>
      <c r="G23" s="352">
        <v>12898.038461538461</v>
      </c>
      <c r="H23" s="353">
        <v>12898.038461538461</v>
      </c>
      <c r="I23" s="52">
        <f t="shared" si="0"/>
        <v>0</v>
      </c>
      <c r="J23" s="52"/>
      <c r="K23" s="350">
        <f t="shared" ref="K23:K28" si="10">G23</f>
        <v>12898.038461538461</v>
      </c>
      <c r="L23" s="54">
        <f t="shared" si="7"/>
        <v>0</v>
      </c>
      <c r="M23" s="350">
        <f t="shared" ref="M23:M28" si="11">H23</f>
        <v>12898.038461538461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2017</v>
      </c>
      <c r="D24" s="351">
        <v>84178.356711915505</v>
      </c>
      <c r="E24" s="352">
        <v>2099.2608695652175</v>
      </c>
      <c r="F24" s="351">
        <v>82079.095842350289</v>
      </c>
      <c r="G24" s="352">
        <v>12544.260869565218</v>
      </c>
      <c r="H24" s="353">
        <v>12544.260869565218</v>
      </c>
      <c r="I24" s="52">
        <f t="shared" si="0"/>
        <v>0</v>
      </c>
      <c r="J24" s="52"/>
      <c r="K24" s="350">
        <f t="shared" si="10"/>
        <v>12544.260869565218</v>
      </c>
      <c r="L24" s="54">
        <f t="shared" si="7"/>
        <v>0</v>
      </c>
      <c r="M24" s="350">
        <f t="shared" si="11"/>
        <v>12544.260869565218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2018</v>
      </c>
      <c r="D25" s="351">
        <v>82079.095842350289</v>
      </c>
      <c r="E25" s="352">
        <v>2145.911111111111</v>
      </c>
      <c r="F25" s="351">
        <v>79933.184731239176</v>
      </c>
      <c r="G25" s="352">
        <v>11847.120662682713</v>
      </c>
      <c r="H25" s="353">
        <v>11847.120662682713</v>
      </c>
      <c r="I25" s="52">
        <f t="shared" si="0"/>
        <v>0</v>
      </c>
      <c r="J25" s="52"/>
      <c r="K25" s="350">
        <f t="shared" si="10"/>
        <v>11847.120662682713</v>
      </c>
      <c r="L25" s="54">
        <f t="shared" si="7"/>
        <v>0</v>
      </c>
      <c r="M25" s="350">
        <f t="shared" si="11"/>
        <v>11847.120662682713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2019</v>
      </c>
      <c r="D26" s="351">
        <v>79933.184731239176</v>
      </c>
      <c r="E26" s="352">
        <v>2414.15</v>
      </c>
      <c r="F26" s="351">
        <v>77519.034731239182</v>
      </c>
      <c r="G26" s="352">
        <v>11204.44220775155</v>
      </c>
      <c r="H26" s="353">
        <v>11204.44220775155</v>
      </c>
      <c r="I26" s="52">
        <f t="shared" si="0"/>
        <v>0</v>
      </c>
      <c r="J26" s="52"/>
      <c r="K26" s="350">
        <f t="shared" si="10"/>
        <v>11204.44220775155</v>
      </c>
      <c r="L26" s="54">
        <f t="shared" ref="L26" si="12">IF(K26&lt;&gt;0,+G26-K26,0)</f>
        <v>0</v>
      </c>
      <c r="M26" s="350">
        <f t="shared" si="11"/>
        <v>11204.44220775155</v>
      </c>
      <c r="N26" s="54">
        <f t="shared" ref="N26" si="13">IF(M26&lt;&gt;0,+H26-M26,0)</f>
        <v>0</v>
      </c>
      <c r="O26" s="54">
        <f t="shared" ref="O26" si="14">+N26-L26</f>
        <v>0</v>
      </c>
      <c r="P26" s="1"/>
    </row>
    <row r="27" spans="2:16">
      <c r="B27" s="393" t="str">
        <f t="shared" si="6"/>
        <v>IU</v>
      </c>
      <c r="C27" s="50">
        <f>IF(D11="","-",+C26+1)</f>
        <v>2020</v>
      </c>
      <c r="D27" s="351">
        <v>77787.273620128064</v>
      </c>
      <c r="E27" s="352">
        <v>2299.1904761904761</v>
      </c>
      <c r="F27" s="351">
        <v>75488.083143937591</v>
      </c>
      <c r="G27" s="352">
        <v>10576.425832738674</v>
      </c>
      <c r="H27" s="353">
        <v>10576.425832738674</v>
      </c>
      <c r="I27" s="52">
        <f t="shared" si="0"/>
        <v>0</v>
      </c>
      <c r="J27" s="52"/>
      <c r="K27" s="350">
        <f t="shared" si="10"/>
        <v>10576.425832738674</v>
      </c>
      <c r="L27" s="54">
        <f t="shared" ref="L27" si="15">IF(K27&lt;&gt;0,+G27-K27,0)</f>
        <v>0</v>
      </c>
      <c r="M27" s="350">
        <f t="shared" si="11"/>
        <v>10576.425832738674</v>
      </c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6"/>
        <v>IU</v>
      </c>
      <c r="C28" s="50">
        <f>IF(D11="","-",+C27+1)</f>
        <v>2021</v>
      </c>
      <c r="D28" s="351">
        <v>75219.844255048723</v>
      </c>
      <c r="E28" s="352">
        <v>2245.7209302325582</v>
      </c>
      <c r="F28" s="351">
        <v>72974.123324816159</v>
      </c>
      <c r="G28" s="352">
        <v>10113.720930232557</v>
      </c>
      <c r="H28" s="353">
        <v>10113.720930232557</v>
      </c>
      <c r="I28" s="52">
        <f t="shared" si="0"/>
        <v>0</v>
      </c>
      <c r="J28" s="52"/>
      <c r="K28" s="350">
        <f t="shared" si="10"/>
        <v>10113.720930232557</v>
      </c>
      <c r="L28" s="54">
        <f t="shared" ref="L28" si="16">IF(K28&lt;&gt;0,+G28-K28,0)</f>
        <v>0</v>
      </c>
      <c r="M28" s="350">
        <f t="shared" si="11"/>
        <v>10113.720930232557</v>
      </c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6"/>
        <v/>
      </c>
      <c r="C29" s="50">
        <f>IF(D11="","-",+C28+1)</f>
        <v>2022</v>
      </c>
      <c r="D29" s="351">
        <v>72974.123324816159</v>
      </c>
      <c r="E29" s="352">
        <v>2299.1904761904761</v>
      </c>
      <c r="F29" s="351">
        <v>70674.932848625685</v>
      </c>
      <c r="G29" s="352">
        <v>9919.1904761904771</v>
      </c>
      <c r="H29" s="353">
        <v>9919.1904761904771</v>
      </c>
      <c r="I29" s="52">
        <f t="shared" si="0"/>
        <v>0</v>
      </c>
      <c r="J29" s="52"/>
      <c r="K29" s="350">
        <f t="shared" ref="K29" si="17">G29</f>
        <v>9919.1904761904771</v>
      </c>
      <c r="L29" s="54">
        <f t="shared" ref="L29" si="18">IF(K29&lt;&gt;0,+G29-K29,0)</f>
        <v>0</v>
      </c>
      <c r="M29" s="350">
        <f t="shared" ref="M29" si="19">H29</f>
        <v>9919.1904761904771</v>
      </c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6"/>
        <v/>
      </c>
      <c r="C30" s="50">
        <f>IF(D11="","-",+C29+1)</f>
        <v>2023</v>
      </c>
      <c r="D30" s="351">
        <v>70674.932848625685</v>
      </c>
      <c r="E30" s="352">
        <v>2476.0512820512822</v>
      </c>
      <c r="F30" s="351">
        <v>68198.881566574404</v>
      </c>
      <c r="G30" s="352">
        <v>10616.051282051281</v>
      </c>
      <c r="H30" s="353">
        <v>10616.051282051281</v>
      </c>
      <c r="I30" s="52">
        <f t="shared" si="0"/>
        <v>0</v>
      </c>
      <c r="J30" s="52"/>
      <c r="K30" s="350">
        <f t="shared" ref="K30" si="20">G30</f>
        <v>10616.051282051281</v>
      </c>
      <c r="L30" s="54">
        <f t="shared" ref="L30" si="21">IF(K30&lt;&gt;0,+G30-K30,0)</f>
        <v>0</v>
      </c>
      <c r="M30" s="350">
        <f t="shared" ref="M30" si="22">H30</f>
        <v>10616.051282051281</v>
      </c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6"/>
        <v/>
      </c>
      <c r="C31" s="50">
        <f>IF(D11="","-",+C30+1)</f>
        <v>2024</v>
      </c>
      <c r="D31" s="351">
        <v>68198.881566574404</v>
      </c>
      <c r="E31" s="352">
        <v>2541.2105263157896</v>
      </c>
      <c r="F31" s="351">
        <v>65657.671040258618</v>
      </c>
      <c r="G31" s="352">
        <v>10009.21052631579</v>
      </c>
      <c r="H31" s="353">
        <v>10009.21052631579</v>
      </c>
      <c r="I31" s="52">
        <f t="shared" si="0"/>
        <v>0</v>
      </c>
      <c r="J31" s="52"/>
      <c r="K31" s="350">
        <f t="shared" ref="K31" si="23">G31</f>
        <v>10009.21052631579</v>
      </c>
      <c r="L31" s="54">
        <f t="shared" ref="L31" si="24">IF(K31&lt;&gt;0,+G31-K31,0)</f>
        <v>0</v>
      </c>
      <c r="M31" s="350">
        <f t="shared" ref="M31" si="25">H31</f>
        <v>10009.21052631579</v>
      </c>
      <c r="N31" s="54">
        <f t="shared" ref="N31" si="26">IF(M31&lt;&gt;0,+H31-M31,0)</f>
        <v>0</v>
      </c>
      <c r="O31" s="54">
        <f t="shared" ref="O31" si="27">+N31-L31</f>
        <v>0</v>
      </c>
      <c r="P31" s="1"/>
    </row>
    <row r="32" spans="2:16">
      <c r="B32" s="7" t="str">
        <f t="shared" si="6"/>
        <v/>
      </c>
      <c r="C32" s="50">
        <f>IF(D11="","-",+C31+1)</f>
        <v>2025</v>
      </c>
      <c r="D32" s="351">
        <v>65657.671040258618</v>
      </c>
      <c r="E32" s="352">
        <v>2541.2105263157896</v>
      </c>
      <c r="F32" s="351">
        <v>63116.460513942831</v>
      </c>
      <c r="G32" s="352">
        <v>9711.21052631579</v>
      </c>
      <c r="H32" s="353">
        <v>9711.21052631579</v>
      </c>
      <c r="I32" s="52">
        <f t="shared" si="0"/>
        <v>0</v>
      </c>
      <c r="J32" s="52"/>
      <c r="K32" s="350">
        <f t="shared" ref="K32" si="28">G32</f>
        <v>9711.21052631579</v>
      </c>
      <c r="L32" s="54">
        <f t="shared" ref="L32" si="29">IF(K32&lt;&gt;0,+G32-K32,0)</f>
        <v>0</v>
      </c>
      <c r="M32" s="350">
        <f t="shared" ref="M32" si="30">H32</f>
        <v>9711.21052631579</v>
      </c>
      <c r="N32" s="54">
        <f t="shared" ref="N32" si="31">IF(M32&lt;&gt;0,+H32-M32,0)</f>
        <v>0</v>
      </c>
      <c r="O32" s="54">
        <f t="shared" ref="O32" si="32">+N32-L32</f>
        <v>0</v>
      </c>
      <c r="P32" s="1"/>
    </row>
    <row r="33" spans="2:16">
      <c r="B33" s="7" t="str">
        <f t="shared" si="6"/>
        <v/>
      </c>
      <c r="C33" s="50">
        <f>IF(D11="","-",+C32+1)</f>
        <v>2026</v>
      </c>
      <c r="D33" s="55">
        <f>IF(F32+SUM(E$17:E32)=D$10,F32,D$10-SUM(E$17:E32))</f>
        <v>63116.460513942831</v>
      </c>
      <c r="E33" s="354">
        <f>IF(+I14&lt;F32,I14,D33)</f>
        <v>2541.2105263157896</v>
      </c>
      <c r="F33" s="55">
        <f t="shared" ref="F33:F48" si="33">+D33-E33</f>
        <v>60575.249987627045</v>
      </c>
      <c r="G33" s="355">
        <f t="shared" ref="G33:G72" si="34">(D33+F33)/2*I$12+E33</f>
        <v>9567.3013214457187</v>
      </c>
      <c r="H33" s="336">
        <f t="shared" ref="H33:H72" si="35">+(D33+F33)/2*I$13+E33</f>
        <v>9567.3013214457187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6"/>
        <v/>
      </c>
      <c r="C34" s="50">
        <f>IF(D11="","-",+C33+1)</f>
        <v>2027</v>
      </c>
      <c r="D34" s="55">
        <f>IF(F33+SUM(E$17:E33)=D$10,F33,D$10-SUM(E$17:E33))</f>
        <v>60575.249987627045</v>
      </c>
      <c r="E34" s="354">
        <f>IF(+I14&lt;F33,I14,D34)</f>
        <v>2541.2105263157896</v>
      </c>
      <c r="F34" s="55">
        <f t="shared" si="33"/>
        <v>58034.039461311258</v>
      </c>
      <c r="G34" s="355">
        <f t="shared" si="34"/>
        <v>9278.6033025561173</v>
      </c>
      <c r="H34" s="336">
        <f t="shared" si="35"/>
        <v>9278.6033025561173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6"/>
        <v/>
      </c>
      <c r="C35" s="50">
        <f>IF(D11="","-",+C34+1)</f>
        <v>2028</v>
      </c>
      <c r="D35" s="55">
        <f>IF(F34+SUM(E$17:E34)=D$10,F34,D$10-SUM(E$17:E34))</f>
        <v>58034.039461311258</v>
      </c>
      <c r="E35" s="354">
        <f>IF(+I14&lt;F34,I14,D35)</f>
        <v>2541.2105263157896</v>
      </c>
      <c r="F35" s="55">
        <f t="shared" si="33"/>
        <v>55492.828934995472</v>
      </c>
      <c r="G35" s="355">
        <f t="shared" si="34"/>
        <v>8989.9052836665178</v>
      </c>
      <c r="H35" s="336">
        <f t="shared" si="35"/>
        <v>8989.9052836665178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6"/>
        <v/>
      </c>
      <c r="C36" s="50">
        <f>IF(D11="","-",+C35+1)</f>
        <v>2029</v>
      </c>
      <c r="D36" s="55">
        <f>IF(F35+SUM(E$17:E35)=D$10,F35,D$10-SUM(E$17:E35))</f>
        <v>55492.828934995472</v>
      </c>
      <c r="E36" s="354">
        <f>IF(+I14&lt;F35,I14,D36)</f>
        <v>2541.2105263157896</v>
      </c>
      <c r="F36" s="55">
        <f t="shared" si="33"/>
        <v>52951.618408679686</v>
      </c>
      <c r="G36" s="355">
        <f t="shared" si="34"/>
        <v>8701.2072647769164</v>
      </c>
      <c r="H36" s="336">
        <f t="shared" si="35"/>
        <v>8701.2072647769164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6"/>
        <v/>
      </c>
      <c r="C37" s="50">
        <f>IF(D11="","-",+C36+1)</f>
        <v>2030</v>
      </c>
      <c r="D37" s="55">
        <f>IF(F36+SUM(E$17:E36)=D$10,F36,D$10-SUM(E$17:E36))</f>
        <v>52951.618408679686</v>
      </c>
      <c r="E37" s="354">
        <f>IF(+I14&lt;F36,I14,D37)</f>
        <v>2541.2105263157896</v>
      </c>
      <c r="F37" s="55">
        <f t="shared" si="33"/>
        <v>50410.407882363899</v>
      </c>
      <c r="G37" s="355">
        <f t="shared" si="34"/>
        <v>8412.509245887315</v>
      </c>
      <c r="H37" s="336">
        <f t="shared" si="35"/>
        <v>8412.509245887315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6"/>
        <v/>
      </c>
      <c r="C38" s="50">
        <f>IF(D11="","-",+C37+1)</f>
        <v>2031</v>
      </c>
      <c r="D38" s="55">
        <f>IF(F37+SUM(E$17:E37)=D$10,F37,D$10-SUM(E$17:E37))</f>
        <v>50410.407882363899</v>
      </c>
      <c r="E38" s="354">
        <f>IF(+I14&lt;F37,I14,D38)</f>
        <v>2541.2105263157896</v>
      </c>
      <c r="F38" s="55">
        <f t="shared" si="33"/>
        <v>47869.197356048113</v>
      </c>
      <c r="G38" s="355">
        <f t="shared" si="34"/>
        <v>8123.8112269977137</v>
      </c>
      <c r="H38" s="336">
        <f t="shared" si="35"/>
        <v>8123.8112269977137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6"/>
        <v/>
      </c>
      <c r="C39" s="50">
        <f>IF(D11="","-",+C38+1)</f>
        <v>2032</v>
      </c>
      <c r="D39" s="55">
        <f>IF(F38+SUM(E$17:E38)=D$10,F38,D$10-SUM(E$17:E38))</f>
        <v>47869.197356048113</v>
      </c>
      <c r="E39" s="354">
        <f>IF(+I14&lt;F38,I14,D39)</f>
        <v>2541.2105263157896</v>
      </c>
      <c r="F39" s="55">
        <f t="shared" si="33"/>
        <v>45327.986829732326</v>
      </c>
      <c r="G39" s="355">
        <f t="shared" si="34"/>
        <v>7835.1132081081141</v>
      </c>
      <c r="H39" s="336">
        <f t="shared" si="35"/>
        <v>7835.1132081081141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6"/>
        <v/>
      </c>
      <c r="C40" s="50">
        <f>IF(D11="","-",+C39+1)</f>
        <v>2033</v>
      </c>
      <c r="D40" s="55">
        <f>IF(F39+SUM(E$17:E39)=D$10,F39,D$10-SUM(E$17:E39))</f>
        <v>45327.986829732326</v>
      </c>
      <c r="E40" s="354">
        <f>IF(+I14&lt;F39,I14,D40)</f>
        <v>2541.2105263157896</v>
      </c>
      <c r="F40" s="55">
        <f t="shared" si="33"/>
        <v>42786.77630341654</v>
      </c>
      <c r="G40" s="355">
        <f t="shared" si="34"/>
        <v>7546.4151892185128</v>
      </c>
      <c r="H40" s="336">
        <f t="shared" si="35"/>
        <v>7546.4151892185128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6"/>
        <v/>
      </c>
      <c r="C41" s="50">
        <f>IF(D11="","-",+C40+1)</f>
        <v>2034</v>
      </c>
      <c r="D41" s="55">
        <f>IF(F40+SUM(E$17:E40)=D$10,F40,D$10-SUM(E$17:E40))</f>
        <v>42786.77630341654</v>
      </c>
      <c r="E41" s="354">
        <f>IF(+I14&lt;F40,I14,D41)</f>
        <v>2541.2105263157896</v>
      </c>
      <c r="F41" s="55">
        <f t="shared" si="33"/>
        <v>40245.565777100754</v>
      </c>
      <c r="G41" s="355">
        <f t="shared" si="34"/>
        <v>7257.7171703289114</v>
      </c>
      <c r="H41" s="336">
        <f t="shared" si="35"/>
        <v>7257.7171703289114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6"/>
        <v/>
      </c>
      <c r="C42" s="50">
        <f>IF(D11="","-",+C41+1)</f>
        <v>2035</v>
      </c>
      <c r="D42" s="55">
        <f>IF(F41+SUM(E$17:E41)=D$10,F41,D$10-SUM(E$17:E41))</f>
        <v>40245.565777100754</v>
      </c>
      <c r="E42" s="354">
        <f>IF(+I14&lt;F41,I14,D42)</f>
        <v>2541.2105263157896</v>
      </c>
      <c r="F42" s="55">
        <f t="shared" si="33"/>
        <v>37704.355250784967</v>
      </c>
      <c r="G42" s="355">
        <f t="shared" si="34"/>
        <v>6969.0191514393118</v>
      </c>
      <c r="H42" s="336">
        <f t="shared" si="35"/>
        <v>6969.0191514393118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6"/>
        <v/>
      </c>
      <c r="C43" s="50">
        <f>IF(D11="","-",+C42+1)</f>
        <v>2036</v>
      </c>
      <c r="D43" s="55">
        <f>IF(F42+SUM(E$17:E42)=D$10,F42,D$10-SUM(E$17:E42))</f>
        <v>37704.355250784967</v>
      </c>
      <c r="E43" s="354">
        <f>IF(+I14&lt;F42,I14,D43)</f>
        <v>2541.2105263157896</v>
      </c>
      <c r="F43" s="55">
        <f t="shared" si="33"/>
        <v>35163.144724469181</v>
      </c>
      <c r="G43" s="355">
        <f t="shared" si="34"/>
        <v>6680.3211325497105</v>
      </c>
      <c r="H43" s="336">
        <f t="shared" si="35"/>
        <v>6680.3211325497105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6"/>
        <v/>
      </c>
      <c r="C44" s="50">
        <f>IF(D11="","-",+C43+1)</f>
        <v>2037</v>
      </c>
      <c r="D44" s="55">
        <f>IF(F43+SUM(E$17:E43)=D$10,F43,D$10-SUM(E$17:E43))</f>
        <v>35163.144724469181</v>
      </c>
      <c r="E44" s="354">
        <f>IF(+I14&lt;F43,I14,D44)</f>
        <v>2541.2105263157896</v>
      </c>
      <c r="F44" s="55">
        <f t="shared" si="33"/>
        <v>32621.934198153391</v>
      </c>
      <c r="G44" s="355">
        <f t="shared" si="34"/>
        <v>6391.6231136601091</v>
      </c>
      <c r="H44" s="336">
        <f t="shared" si="35"/>
        <v>6391.6231136601091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6"/>
        <v/>
      </c>
      <c r="C45" s="50">
        <f>IF(D11="","-",+C44+1)</f>
        <v>2038</v>
      </c>
      <c r="D45" s="55">
        <f>IF(F44+SUM(E$17:E44)=D$10,F44,D$10-SUM(E$17:E44))</f>
        <v>32621.934198153391</v>
      </c>
      <c r="E45" s="354">
        <f>IF(+I14&lt;F44,I14,D45)</f>
        <v>2541.2105263157896</v>
      </c>
      <c r="F45" s="55">
        <f t="shared" si="33"/>
        <v>30080.723671837601</v>
      </c>
      <c r="G45" s="355">
        <f t="shared" si="34"/>
        <v>6102.9250947705077</v>
      </c>
      <c r="H45" s="336">
        <f t="shared" si="35"/>
        <v>6102.9250947705077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6"/>
        <v/>
      </c>
      <c r="C46" s="50">
        <f>IF(D11="","-",+C45+1)</f>
        <v>2039</v>
      </c>
      <c r="D46" s="55">
        <f>IF(F45+SUM(E$17:E45)=D$10,F45,D$10-SUM(E$17:E45))</f>
        <v>30080.723671837601</v>
      </c>
      <c r="E46" s="354">
        <f>IF(+I14&lt;F45,I14,D46)</f>
        <v>2541.2105263157896</v>
      </c>
      <c r="F46" s="55">
        <f t="shared" si="33"/>
        <v>27539.513145521811</v>
      </c>
      <c r="G46" s="355">
        <f t="shared" si="34"/>
        <v>5814.2270758809063</v>
      </c>
      <c r="H46" s="336">
        <f t="shared" si="35"/>
        <v>5814.2270758809063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6"/>
        <v/>
      </c>
      <c r="C47" s="50">
        <f>IF(D11="","-",+C46+1)</f>
        <v>2040</v>
      </c>
      <c r="D47" s="55">
        <f>IF(F46+SUM(E$17:E46)=D$10,F46,D$10-SUM(E$17:E46))</f>
        <v>27539.513145521811</v>
      </c>
      <c r="E47" s="354">
        <f>IF(+I14&lt;F46,I14,D47)</f>
        <v>2541.2105263157896</v>
      </c>
      <c r="F47" s="55">
        <f t="shared" si="33"/>
        <v>24998.302619206021</v>
      </c>
      <c r="G47" s="355">
        <f t="shared" si="34"/>
        <v>5525.529056991305</v>
      </c>
      <c r="H47" s="336">
        <f t="shared" si="35"/>
        <v>5525.529056991305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6"/>
        <v/>
      </c>
      <c r="C48" s="50">
        <f>IF(D11="","-",+C47+1)</f>
        <v>2041</v>
      </c>
      <c r="D48" s="55">
        <f>IF(F47+SUM(E$17:E47)=D$10,F47,D$10-SUM(E$17:E47))</f>
        <v>24998.302619206021</v>
      </c>
      <c r="E48" s="354">
        <f>IF(+I14&lt;F47,I14,D48)</f>
        <v>2541.2105263157896</v>
      </c>
      <c r="F48" s="55">
        <f t="shared" si="33"/>
        <v>22457.092092890231</v>
      </c>
      <c r="G48" s="355">
        <f t="shared" si="34"/>
        <v>5236.8310381017045</v>
      </c>
      <c r="H48" s="336">
        <f t="shared" si="35"/>
        <v>5236.8310381017045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6"/>
        <v/>
      </c>
      <c r="C49" s="50">
        <f>IF(D11="","-",+C48+1)</f>
        <v>2042</v>
      </c>
      <c r="D49" s="55">
        <f>IF(F48+SUM(E$17:E48)=D$10,F48,D$10-SUM(E$17:E48))</f>
        <v>22457.092092890231</v>
      </c>
      <c r="E49" s="354">
        <f>IF(+I14&lt;F48,I14,D49)</f>
        <v>2541.2105263157896</v>
      </c>
      <c r="F49" s="55">
        <f t="shared" ref="F49:F72" si="36">+D49-E49</f>
        <v>19915.881566574441</v>
      </c>
      <c r="G49" s="355">
        <f t="shared" si="34"/>
        <v>4948.1330192121022</v>
      </c>
      <c r="H49" s="336">
        <f t="shared" si="35"/>
        <v>4948.1330192121022</v>
      </c>
      <c r="I49" s="52">
        <f t="shared" ref="I49:I72" si="37">H49-G49</f>
        <v>0</v>
      </c>
      <c r="J49" s="52"/>
      <c r="K49" s="115"/>
      <c r="L49" s="54">
        <f t="shared" ref="L49:L72" si="38">IF(K49&lt;&gt;0,+G49-K49,0)</f>
        <v>0</v>
      </c>
      <c r="M49" s="115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6">
      <c r="B50" s="7" t="str">
        <f t="shared" si="6"/>
        <v/>
      </c>
      <c r="C50" s="50">
        <f>IF(D11="","-",+C49+1)</f>
        <v>2043</v>
      </c>
      <c r="D50" s="55">
        <f>IF(F49+SUM(E$17:E49)=D$10,F49,D$10-SUM(E$17:E49))</f>
        <v>19915.881566574441</v>
      </c>
      <c r="E50" s="354">
        <f>IF(+I14&lt;F49,I14,D50)</f>
        <v>2541.2105263157896</v>
      </c>
      <c r="F50" s="55">
        <f t="shared" si="36"/>
        <v>17374.67104025865</v>
      </c>
      <c r="G50" s="355">
        <f t="shared" si="34"/>
        <v>4659.4350003225018</v>
      </c>
      <c r="H50" s="336">
        <f t="shared" si="35"/>
        <v>4659.4350003225018</v>
      </c>
      <c r="I50" s="52">
        <f t="shared" si="37"/>
        <v>0</v>
      </c>
      <c r="J50" s="52"/>
      <c r="K50" s="115"/>
      <c r="L50" s="54">
        <f t="shared" si="38"/>
        <v>0</v>
      </c>
      <c r="M50" s="115"/>
      <c r="N50" s="54">
        <f t="shared" si="39"/>
        <v>0</v>
      </c>
      <c r="O50" s="54">
        <f t="shared" si="40"/>
        <v>0</v>
      </c>
      <c r="P50" s="1"/>
    </row>
    <row r="51" spans="2:16">
      <c r="B51" s="7" t="str">
        <f t="shared" si="6"/>
        <v/>
      </c>
      <c r="C51" s="50">
        <f>IF(D11="","-",+C50+1)</f>
        <v>2044</v>
      </c>
      <c r="D51" s="55">
        <f>IF(F50+SUM(E$17:E50)=D$10,F50,D$10-SUM(E$17:E50))</f>
        <v>17374.67104025865</v>
      </c>
      <c r="E51" s="354">
        <f>IF(+I14&lt;F50,I14,D51)</f>
        <v>2541.2105263157896</v>
      </c>
      <c r="F51" s="55">
        <f t="shared" si="36"/>
        <v>14833.46051394286</v>
      </c>
      <c r="G51" s="355">
        <f t="shared" si="34"/>
        <v>4370.7369814329004</v>
      </c>
      <c r="H51" s="336">
        <f t="shared" si="35"/>
        <v>4370.7369814329004</v>
      </c>
      <c r="I51" s="52">
        <f t="shared" si="37"/>
        <v>0</v>
      </c>
      <c r="J51" s="52"/>
      <c r="K51" s="115"/>
      <c r="L51" s="54">
        <f t="shared" si="38"/>
        <v>0</v>
      </c>
      <c r="M51" s="115"/>
      <c r="N51" s="54">
        <f t="shared" si="39"/>
        <v>0</v>
      </c>
      <c r="O51" s="54">
        <f t="shared" si="40"/>
        <v>0</v>
      </c>
      <c r="P51" s="1"/>
    </row>
    <row r="52" spans="2:16">
      <c r="B52" s="7" t="str">
        <f t="shared" si="6"/>
        <v/>
      </c>
      <c r="C52" s="50">
        <f>IF(D11="","-",+C51+1)</f>
        <v>2045</v>
      </c>
      <c r="D52" s="55">
        <f>IF(F51+SUM(E$17:E51)=D$10,F51,D$10-SUM(E$17:E51))</f>
        <v>14833.46051394286</v>
      </c>
      <c r="E52" s="354">
        <f>IF(+I14&lt;F51,I14,D52)</f>
        <v>2541.2105263157896</v>
      </c>
      <c r="F52" s="55">
        <f t="shared" si="36"/>
        <v>12292.24998762707</v>
      </c>
      <c r="G52" s="355">
        <f t="shared" si="34"/>
        <v>4082.038962543299</v>
      </c>
      <c r="H52" s="336">
        <f t="shared" si="35"/>
        <v>4082.038962543299</v>
      </c>
      <c r="I52" s="52">
        <f t="shared" si="37"/>
        <v>0</v>
      </c>
      <c r="J52" s="52"/>
      <c r="K52" s="115"/>
      <c r="L52" s="54">
        <f t="shared" si="38"/>
        <v>0</v>
      </c>
      <c r="M52" s="115"/>
      <c r="N52" s="54">
        <f t="shared" si="39"/>
        <v>0</v>
      </c>
      <c r="O52" s="54">
        <f t="shared" si="40"/>
        <v>0</v>
      </c>
      <c r="P52" s="1"/>
    </row>
    <row r="53" spans="2:16">
      <c r="B53" s="7" t="str">
        <f t="shared" si="6"/>
        <v/>
      </c>
      <c r="C53" s="50">
        <f>IF(D11="","-",+C52+1)</f>
        <v>2046</v>
      </c>
      <c r="D53" s="55">
        <f>IF(F52+SUM(E$17:E52)=D$10,F52,D$10-SUM(E$17:E52))</f>
        <v>12292.24998762707</v>
      </c>
      <c r="E53" s="354">
        <f>IF(+I14&lt;F52,I14,D53)</f>
        <v>2541.2105263157896</v>
      </c>
      <c r="F53" s="55">
        <f t="shared" si="36"/>
        <v>9751.0394613112803</v>
      </c>
      <c r="G53" s="355">
        <f t="shared" si="34"/>
        <v>3793.3409436536977</v>
      </c>
      <c r="H53" s="336">
        <f t="shared" si="35"/>
        <v>3793.3409436536977</v>
      </c>
      <c r="I53" s="52">
        <f t="shared" si="37"/>
        <v>0</v>
      </c>
      <c r="J53" s="52"/>
      <c r="K53" s="115"/>
      <c r="L53" s="54">
        <f t="shared" si="38"/>
        <v>0</v>
      </c>
      <c r="M53" s="115"/>
      <c r="N53" s="54">
        <f t="shared" si="39"/>
        <v>0</v>
      </c>
      <c r="O53" s="54">
        <f t="shared" si="40"/>
        <v>0</v>
      </c>
      <c r="P53" s="1"/>
    </row>
    <row r="54" spans="2:16">
      <c r="B54" s="7" t="str">
        <f t="shared" si="6"/>
        <v/>
      </c>
      <c r="C54" s="50">
        <f>IF(D11="","-",+C53+1)</f>
        <v>2047</v>
      </c>
      <c r="D54" s="55">
        <f>IF(F53+SUM(E$17:E53)=D$10,F53,D$10-SUM(E$17:E53))</f>
        <v>9751.0394613112803</v>
      </c>
      <c r="E54" s="354">
        <f>IF(+I14&lt;F53,I14,D54)</f>
        <v>2541.2105263157896</v>
      </c>
      <c r="F54" s="55">
        <f t="shared" si="36"/>
        <v>7209.8289349954903</v>
      </c>
      <c r="G54" s="355">
        <f t="shared" si="34"/>
        <v>3504.6429247640967</v>
      </c>
      <c r="H54" s="336">
        <f t="shared" si="35"/>
        <v>3504.6429247640967</v>
      </c>
      <c r="I54" s="52">
        <f t="shared" si="37"/>
        <v>0</v>
      </c>
      <c r="J54" s="52"/>
      <c r="K54" s="115"/>
      <c r="L54" s="54">
        <f t="shared" si="38"/>
        <v>0</v>
      </c>
      <c r="M54" s="115"/>
      <c r="N54" s="54">
        <f t="shared" si="39"/>
        <v>0</v>
      </c>
      <c r="O54" s="54">
        <f t="shared" si="40"/>
        <v>0</v>
      </c>
      <c r="P54" s="1"/>
    </row>
    <row r="55" spans="2:16">
      <c r="B55" s="7" t="str">
        <f t="shared" si="6"/>
        <v/>
      </c>
      <c r="C55" s="50">
        <f>IF(D11="","-",+C54+1)</f>
        <v>2048</v>
      </c>
      <c r="D55" s="55">
        <f>IF(F54+SUM(E$17:E54)=D$10,F54,D$10-SUM(E$17:E54))</f>
        <v>7209.8289349954903</v>
      </c>
      <c r="E55" s="354">
        <f>IF(+I14&lt;F54,I14,D55)</f>
        <v>2541.2105263157896</v>
      </c>
      <c r="F55" s="55">
        <f t="shared" si="36"/>
        <v>4668.6184086797002</v>
      </c>
      <c r="G55" s="355">
        <f t="shared" si="34"/>
        <v>3215.9449058744954</v>
      </c>
      <c r="H55" s="336">
        <f t="shared" si="35"/>
        <v>3215.9449058744954</v>
      </c>
      <c r="I55" s="52">
        <f t="shared" si="37"/>
        <v>0</v>
      </c>
      <c r="J55" s="52"/>
      <c r="K55" s="115"/>
      <c r="L55" s="54">
        <f t="shared" si="38"/>
        <v>0</v>
      </c>
      <c r="M55" s="115"/>
      <c r="N55" s="54">
        <f t="shared" si="39"/>
        <v>0</v>
      </c>
      <c r="O55" s="54">
        <f t="shared" si="40"/>
        <v>0</v>
      </c>
      <c r="P55" s="1"/>
    </row>
    <row r="56" spans="2:16">
      <c r="B56" s="7" t="str">
        <f t="shared" si="6"/>
        <v/>
      </c>
      <c r="C56" s="50">
        <f>IF(D11="","-",+C55+1)</f>
        <v>2049</v>
      </c>
      <c r="D56" s="55">
        <f>IF(F55+SUM(E$17:E55)=D$10,F55,D$10-SUM(E$17:E55))</f>
        <v>4668.6184086797002</v>
      </c>
      <c r="E56" s="354">
        <f>IF(+I14&lt;F55,I14,D56)</f>
        <v>2541.2105263157896</v>
      </c>
      <c r="F56" s="55">
        <f t="shared" si="36"/>
        <v>2127.4078823639106</v>
      </c>
      <c r="G56" s="355">
        <f t="shared" si="34"/>
        <v>2927.2468869848944</v>
      </c>
      <c r="H56" s="336">
        <f t="shared" si="35"/>
        <v>2927.2468869848944</v>
      </c>
      <c r="I56" s="52">
        <f t="shared" si="37"/>
        <v>0</v>
      </c>
      <c r="J56" s="52"/>
      <c r="K56" s="115"/>
      <c r="L56" s="54">
        <f t="shared" si="38"/>
        <v>0</v>
      </c>
      <c r="M56" s="115"/>
      <c r="N56" s="54">
        <f t="shared" si="39"/>
        <v>0</v>
      </c>
      <c r="O56" s="54">
        <f t="shared" si="40"/>
        <v>0</v>
      </c>
      <c r="P56" s="1"/>
    </row>
    <row r="57" spans="2:16">
      <c r="B57" s="7" t="str">
        <f t="shared" si="6"/>
        <v/>
      </c>
      <c r="C57" s="50">
        <f>IF(D11="","-",+C56+1)</f>
        <v>2050</v>
      </c>
      <c r="D57" s="55">
        <f>IF(F56+SUM(E$17:E56)=D$10,F56,D$10-SUM(E$17:E56))</f>
        <v>2127.4078823639106</v>
      </c>
      <c r="E57" s="354">
        <f>IF(+I14&lt;F56,I14,D57)</f>
        <v>2127.4078823639106</v>
      </c>
      <c r="F57" s="55">
        <f t="shared" si="36"/>
        <v>0</v>
      </c>
      <c r="G57" s="355">
        <f t="shared" si="34"/>
        <v>2248.2515579760625</v>
      </c>
      <c r="H57" s="336">
        <f t="shared" si="35"/>
        <v>2248.2515579760625</v>
      </c>
      <c r="I57" s="52">
        <f t="shared" si="37"/>
        <v>0</v>
      </c>
      <c r="J57" s="52"/>
      <c r="K57" s="115"/>
      <c r="L57" s="54">
        <f t="shared" si="38"/>
        <v>0</v>
      </c>
      <c r="M57" s="115"/>
      <c r="N57" s="54">
        <f t="shared" si="39"/>
        <v>0</v>
      </c>
      <c r="O57" s="54">
        <f t="shared" si="40"/>
        <v>0</v>
      </c>
      <c r="P57" s="1"/>
    </row>
    <row r="58" spans="2:16">
      <c r="B58" s="7" t="str">
        <f t="shared" si="6"/>
        <v/>
      </c>
      <c r="C58" s="50">
        <f>IF(D11="","-",+C57+1)</f>
        <v>2051</v>
      </c>
      <c r="D58" s="55">
        <f>IF(F57+SUM(E$17:E57)=D$10,F57,D$10-SUM(E$17:E57))</f>
        <v>0</v>
      </c>
      <c r="E58" s="354">
        <f>IF(+I14&lt;F57,I14,D58)</f>
        <v>0</v>
      </c>
      <c r="F58" s="55">
        <f t="shared" si="36"/>
        <v>0</v>
      </c>
      <c r="G58" s="355">
        <f t="shared" si="34"/>
        <v>0</v>
      </c>
      <c r="H58" s="336">
        <f t="shared" si="35"/>
        <v>0</v>
      </c>
      <c r="I58" s="52">
        <f t="shared" si="37"/>
        <v>0</v>
      </c>
      <c r="J58" s="52"/>
      <c r="K58" s="115"/>
      <c r="L58" s="54">
        <f t="shared" si="38"/>
        <v>0</v>
      </c>
      <c r="M58" s="115"/>
      <c r="N58" s="54">
        <f t="shared" si="39"/>
        <v>0</v>
      </c>
      <c r="O58" s="54">
        <f t="shared" si="40"/>
        <v>0</v>
      </c>
      <c r="P58" s="1"/>
    </row>
    <row r="59" spans="2:16">
      <c r="B59" s="7" t="str">
        <f t="shared" si="6"/>
        <v/>
      </c>
      <c r="C59" s="50">
        <f>IF(D11="","-",+C58+1)</f>
        <v>2052</v>
      </c>
      <c r="D59" s="55">
        <f>IF(F58+SUM(E$17:E58)=D$10,F58,D$10-SUM(E$17:E58))</f>
        <v>0</v>
      </c>
      <c r="E59" s="354">
        <f>IF(+I14&lt;F58,I14,D59)</f>
        <v>0</v>
      </c>
      <c r="F59" s="55">
        <f t="shared" si="36"/>
        <v>0</v>
      </c>
      <c r="G59" s="355">
        <f t="shared" si="34"/>
        <v>0</v>
      </c>
      <c r="H59" s="336">
        <f t="shared" si="35"/>
        <v>0</v>
      </c>
      <c r="I59" s="52">
        <f t="shared" si="37"/>
        <v>0</v>
      </c>
      <c r="J59" s="52"/>
      <c r="K59" s="115"/>
      <c r="L59" s="54">
        <f t="shared" si="38"/>
        <v>0</v>
      </c>
      <c r="M59" s="115"/>
      <c r="N59" s="54">
        <f t="shared" si="39"/>
        <v>0</v>
      </c>
      <c r="O59" s="54">
        <f t="shared" si="40"/>
        <v>0</v>
      </c>
      <c r="P59" s="1"/>
    </row>
    <row r="60" spans="2:16">
      <c r="B60" s="7" t="str">
        <f t="shared" si="6"/>
        <v/>
      </c>
      <c r="C60" s="50">
        <f>IF(D11="","-",+C59+1)</f>
        <v>2053</v>
      </c>
      <c r="D60" s="55">
        <f>IF(F59+SUM(E$17:E59)=D$10,F59,D$10-SUM(E$17:E59))</f>
        <v>0</v>
      </c>
      <c r="E60" s="354">
        <f>IF(+I14&lt;F59,I14,D60)</f>
        <v>0</v>
      </c>
      <c r="F60" s="55">
        <f t="shared" si="36"/>
        <v>0</v>
      </c>
      <c r="G60" s="355">
        <f t="shared" si="34"/>
        <v>0</v>
      </c>
      <c r="H60" s="336">
        <f t="shared" si="35"/>
        <v>0</v>
      </c>
      <c r="I60" s="52">
        <f t="shared" si="37"/>
        <v>0</v>
      </c>
      <c r="J60" s="52"/>
      <c r="K60" s="115"/>
      <c r="L60" s="54">
        <f t="shared" si="38"/>
        <v>0</v>
      </c>
      <c r="M60" s="115"/>
      <c r="N60" s="54">
        <f t="shared" si="39"/>
        <v>0</v>
      </c>
      <c r="O60" s="54">
        <f t="shared" si="40"/>
        <v>0</v>
      </c>
      <c r="P60" s="1"/>
    </row>
    <row r="61" spans="2:16">
      <c r="B61" s="7" t="str">
        <f t="shared" si="6"/>
        <v/>
      </c>
      <c r="C61" s="50">
        <f>IF(D11="","-",+C60+1)</f>
        <v>2054</v>
      </c>
      <c r="D61" s="55">
        <f>IF(F60+SUM(E$17:E60)=D$10,F60,D$10-SUM(E$17:E60))</f>
        <v>0</v>
      </c>
      <c r="E61" s="354">
        <f>IF(+I14&lt;F60,I14,D61)</f>
        <v>0</v>
      </c>
      <c r="F61" s="55">
        <f t="shared" si="36"/>
        <v>0</v>
      </c>
      <c r="G61" s="355">
        <f t="shared" si="34"/>
        <v>0</v>
      </c>
      <c r="H61" s="336">
        <f t="shared" si="35"/>
        <v>0</v>
      </c>
      <c r="I61" s="52">
        <f t="shared" si="37"/>
        <v>0</v>
      </c>
      <c r="J61" s="52"/>
      <c r="K61" s="115"/>
      <c r="L61" s="54">
        <f t="shared" si="38"/>
        <v>0</v>
      </c>
      <c r="M61" s="115"/>
      <c r="N61" s="54">
        <f t="shared" si="39"/>
        <v>0</v>
      </c>
      <c r="O61" s="54">
        <f t="shared" si="40"/>
        <v>0</v>
      </c>
      <c r="P61" s="1"/>
    </row>
    <row r="62" spans="2:16">
      <c r="B62" s="7" t="str">
        <f t="shared" si="6"/>
        <v/>
      </c>
      <c r="C62" s="50">
        <f>IF(D11="","-",+C61+1)</f>
        <v>2055</v>
      </c>
      <c r="D62" s="55">
        <f>IF(F61+SUM(E$17:E61)=D$10,F61,D$10-SUM(E$17:E61))</f>
        <v>0</v>
      </c>
      <c r="E62" s="354">
        <f>IF(+I14&lt;F61,I14,D62)</f>
        <v>0</v>
      </c>
      <c r="F62" s="55">
        <f t="shared" si="36"/>
        <v>0</v>
      </c>
      <c r="G62" s="355">
        <f t="shared" si="34"/>
        <v>0</v>
      </c>
      <c r="H62" s="336">
        <f t="shared" si="35"/>
        <v>0</v>
      </c>
      <c r="I62" s="52">
        <f t="shared" si="37"/>
        <v>0</v>
      </c>
      <c r="J62" s="52"/>
      <c r="K62" s="115"/>
      <c r="L62" s="54">
        <f t="shared" si="38"/>
        <v>0</v>
      </c>
      <c r="M62" s="115"/>
      <c r="N62" s="54">
        <f t="shared" si="39"/>
        <v>0</v>
      </c>
      <c r="O62" s="54">
        <f t="shared" si="40"/>
        <v>0</v>
      </c>
      <c r="P62" s="1"/>
    </row>
    <row r="63" spans="2:16">
      <c r="B63" s="7" t="str">
        <f t="shared" si="6"/>
        <v/>
      </c>
      <c r="C63" s="50">
        <f>IF(D11="","-",+C62+1)</f>
        <v>2056</v>
      </c>
      <c r="D63" s="55">
        <f>IF(F62+SUM(E$17:E62)=D$10,F62,D$10-SUM(E$17:E62))</f>
        <v>0</v>
      </c>
      <c r="E63" s="354">
        <f>IF(+I14&lt;F62,I14,D63)</f>
        <v>0</v>
      </c>
      <c r="F63" s="55">
        <f t="shared" si="36"/>
        <v>0</v>
      </c>
      <c r="G63" s="355">
        <f t="shared" si="34"/>
        <v>0</v>
      </c>
      <c r="H63" s="336">
        <f t="shared" si="35"/>
        <v>0</v>
      </c>
      <c r="I63" s="52">
        <f t="shared" si="37"/>
        <v>0</v>
      </c>
      <c r="J63" s="52"/>
      <c r="K63" s="115"/>
      <c r="L63" s="54">
        <f t="shared" si="38"/>
        <v>0</v>
      </c>
      <c r="M63" s="115"/>
      <c r="N63" s="54">
        <f t="shared" si="39"/>
        <v>0</v>
      </c>
      <c r="O63" s="54">
        <f t="shared" si="40"/>
        <v>0</v>
      </c>
      <c r="P63" s="1"/>
    </row>
    <row r="64" spans="2:16">
      <c r="B64" s="7" t="str">
        <f t="shared" si="6"/>
        <v/>
      </c>
      <c r="C64" s="50">
        <f>IF(D11="","-",+C63+1)</f>
        <v>2057</v>
      </c>
      <c r="D64" s="55">
        <f>IF(F63+SUM(E$17:E63)=D$10,F63,D$10-SUM(E$17:E63))</f>
        <v>0</v>
      </c>
      <c r="E64" s="354">
        <f>IF(+I14&lt;F63,I14,D64)</f>
        <v>0</v>
      </c>
      <c r="F64" s="55">
        <f t="shared" si="36"/>
        <v>0</v>
      </c>
      <c r="G64" s="355">
        <f t="shared" si="34"/>
        <v>0</v>
      </c>
      <c r="H64" s="336">
        <f t="shared" si="35"/>
        <v>0</v>
      </c>
      <c r="I64" s="52">
        <f t="shared" si="37"/>
        <v>0</v>
      </c>
      <c r="J64" s="52"/>
      <c r="K64" s="115"/>
      <c r="L64" s="54">
        <f t="shared" si="38"/>
        <v>0</v>
      </c>
      <c r="M64" s="115"/>
      <c r="N64" s="54">
        <f t="shared" si="39"/>
        <v>0</v>
      </c>
      <c r="O64" s="54">
        <f t="shared" si="40"/>
        <v>0</v>
      </c>
      <c r="P64" s="1"/>
    </row>
    <row r="65" spans="2:16">
      <c r="B65" s="393" t="str">
        <f t="shared" si="6"/>
        <v/>
      </c>
      <c r="C65" s="50">
        <f>IF(D11="","-",+C64+1)</f>
        <v>2058</v>
      </c>
      <c r="D65" s="55">
        <f>IF(F64+SUM(E$17:E64)=D$10,F64,D$10-SUM(E$17:E64))</f>
        <v>0</v>
      </c>
      <c r="E65" s="354">
        <f>IF(+I14&lt;F64,I14,D65)</f>
        <v>0</v>
      </c>
      <c r="F65" s="55">
        <f t="shared" si="36"/>
        <v>0</v>
      </c>
      <c r="G65" s="355">
        <f t="shared" si="34"/>
        <v>0</v>
      </c>
      <c r="H65" s="336">
        <f t="shared" si="35"/>
        <v>0</v>
      </c>
      <c r="I65" s="52">
        <f t="shared" si="37"/>
        <v>0</v>
      </c>
      <c r="J65" s="52"/>
      <c r="K65" s="115"/>
      <c r="L65" s="54">
        <f t="shared" si="38"/>
        <v>0</v>
      </c>
      <c r="M65" s="115"/>
      <c r="N65" s="54">
        <f t="shared" si="39"/>
        <v>0</v>
      </c>
      <c r="O65" s="54">
        <f t="shared" si="40"/>
        <v>0</v>
      </c>
      <c r="P65" s="1"/>
    </row>
    <row r="66" spans="2:16">
      <c r="B66" s="7" t="str">
        <f t="shared" si="6"/>
        <v/>
      </c>
      <c r="C66" s="50">
        <f>IF(D11="","-",+C65+1)</f>
        <v>2059</v>
      </c>
      <c r="D66" s="55">
        <f>IF(F65+SUM(E$17:E65)=D$10,F65,D$10-SUM(E$17:E65))</f>
        <v>0</v>
      </c>
      <c r="E66" s="354">
        <f>IF(+I14&lt;F65,I14,D66)</f>
        <v>0</v>
      </c>
      <c r="F66" s="55">
        <f t="shared" si="36"/>
        <v>0</v>
      </c>
      <c r="G66" s="355">
        <f t="shared" si="34"/>
        <v>0</v>
      </c>
      <c r="H66" s="336">
        <f t="shared" si="35"/>
        <v>0</v>
      </c>
      <c r="I66" s="52">
        <f t="shared" si="37"/>
        <v>0</v>
      </c>
      <c r="J66" s="52"/>
      <c r="K66" s="115"/>
      <c r="L66" s="54">
        <f t="shared" si="38"/>
        <v>0</v>
      </c>
      <c r="M66" s="115"/>
      <c r="N66" s="54">
        <f t="shared" si="39"/>
        <v>0</v>
      </c>
      <c r="O66" s="54">
        <f t="shared" si="40"/>
        <v>0</v>
      </c>
      <c r="P66" s="1"/>
    </row>
    <row r="67" spans="2:16">
      <c r="B67" s="7" t="str">
        <f t="shared" si="6"/>
        <v/>
      </c>
      <c r="C67" s="50">
        <f>IF(D11="","-",+C66+1)</f>
        <v>2060</v>
      </c>
      <c r="D67" s="55">
        <f>IF(F66+SUM(E$17:E66)=D$10,F66,D$10-SUM(E$17:E66))</f>
        <v>0</v>
      </c>
      <c r="E67" s="354">
        <f>IF(+I14&lt;F66,I14,D67)</f>
        <v>0</v>
      </c>
      <c r="F67" s="55">
        <f t="shared" si="36"/>
        <v>0</v>
      </c>
      <c r="G67" s="355">
        <f t="shared" si="34"/>
        <v>0</v>
      </c>
      <c r="H67" s="336">
        <f t="shared" si="35"/>
        <v>0</v>
      </c>
      <c r="I67" s="52">
        <f t="shared" si="37"/>
        <v>0</v>
      </c>
      <c r="J67" s="52"/>
      <c r="K67" s="115"/>
      <c r="L67" s="54">
        <f t="shared" si="38"/>
        <v>0</v>
      </c>
      <c r="M67" s="115"/>
      <c r="N67" s="54">
        <f t="shared" si="39"/>
        <v>0</v>
      </c>
      <c r="O67" s="54">
        <f t="shared" si="40"/>
        <v>0</v>
      </c>
      <c r="P67" s="1"/>
    </row>
    <row r="68" spans="2:16">
      <c r="B68" s="7" t="str">
        <f t="shared" si="6"/>
        <v/>
      </c>
      <c r="C68" s="50">
        <f>IF(D11="","-",+C67+1)</f>
        <v>2061</v>
      </c>
      <c r="D68" s="55">
        <f>IF(F67+SUM(E$17:E67)=D$10,F67,D$10-SUM(E$17:E67))</f>
        <v>0</v>
      </c>
      <c r="E68" s="354">
        <f>IF(+I14&lt;F67,I14,D68)</f>
        <v>0</v>
      </c>
      <c r="F68" s="55">
        <f t="shared" si="36"/>
        <v>0</v>
      </c>
      <c r="G68" s="355">
        <f t="shared" si="34"/>
        <v>0</v>
      </c>
      <c r="H68" s="336">
        <f t="shared" si="35"/>
        <v>0</v>
      </c>
      <c r="I68" s="52">
        <f t="shared" si="37"/>
        <v>0</v>
      </c>
      <c r="J68" s="52"/>
      <c r="K68" s="115"/>
      <c r="L68" s="54">
        <f t="shared" si="38"/>
        <v>0</v>
      </c>
      <c r="M68" s="115"/>
      <c r="N68" s="54">
        <f t="shared" si="39"/>
        <v>0</v>
      </c>
      <c r="O68" s="54">
        <f t="shared" si="40"/>
        <v>0</v>
      </c>
      <c r="P68" s="1"/>
    </row>
    <row r="69" spans="2:16">
      <c r="B69" s="7" t="str">
        <f t="shared" si="6"/>
        <v/>
      </c>
      <c r="C69" s="50">
        <f>IF(D11="","-",+C68+1)</f>
        <v>2062</v>
      </c>
      <c r="D69" s="55">
        <f>IF(F68+SUM(E$17:E68)=D$10,F68,D$10-SUM(E$17:E68))</f>
        <v>0</v>
      </c>
      <c r="E69" s="354">
        <f>IF(+I14&lt;F68,I14,D69)</f>
        <v>0</v>
      </c>
      <c r="F69" s="55">
        <f t="shared" si="36"/>
        <v>0</v>
      </c>
      <c r="G69" s="355">
        <f t="shared" si="34"/>
        <v>0</v>
      </c>
      <c r="H69" s="336">
        <f t="shared" si="35"/>
        <v>0</v>
      </c>
      <c r="I69" s="52">
        <f t="shared" si="37"/>
        <v>0</v>
      </c>
      <c r="J69" s="52"/>
      <c r="K69" s="115"/>
      <c r="L69" s="54">
        <f t="shared" si="38"/>
        <v>0</v>
      </c>
      <c r="M69" s="115"/>
      <c r="N69" s="54">
        <f t="shared" si="39"/>
        <v>0</v>
      </c>
      <c r="O69" s="54">
        <f t="shared" si="40"/>
        <v>0</v>
      </c>
      <c r="P69" s="1"/>
    </row>
    <row r="70" spans="2:16">
      <c r="B70" s="7" t="str">
        <f t="shared" si="6"/>
        <v/>
      </c>
      <c r="C70" s="50">
        <f>IF(D11="","-",+C69+1)</f>
        <v>2063</v>
      </c>
      <c r="D70" s="55">
        <f>IF(F69+SUM(E$17:E69)=D$10,F69,D$10-SUM(E$17:E69))</f>
        <v>0</v>
      </c>
      <c r="E70" s="354">
        <f>IF(+I14&lt;F69,I14,D70)</f>
        <v>0</v>
      </c>
      <c r="F70" s="55">
        <f t="shared" si="36"/>
        <v>0</v>
      </c>
      <c r="G70" s="355">
        <f t="shared" si="34"/>
        <v>0</v>
      </c>
      <c r="H70" s="336">
        <f t="shared" si="35"/>
        <v>0</v>
      </c>
      <c r="I70" s="52">
        <f t="shared" si="37"/>
        <v>0</v>
      </c>
      <c r="J70" s="52"/>
      <c r="K70" s="115"/>
      <c r="L70" s="54">
        <f t="shared" si="38"/>
        <v>0</v>
      </c>
      <c r="M70" s="115"/>
      <c r="N70" s="54">
        <f t="shared" si="39"/>
        <v>0</v>
      </c>
      <c r="O70" s="54">
        <f t="shared" si="40"/>
        <v>0</v>
      </c>
      <c r="P70" s="1"/>
    </row>
    <row r="71" spans="2:16">
      <c r="B71" s="7" t="str">
        <f t="shared" si="6"/>
        <v/>
      </c>
      <c r="C71" s="50">
        <f>IF(D11="","-",+C70+1)</f>
        <v>2064</v>
      </c>
      <c r="D71" s="55">
        <f>IF(F70+SUM(E$17:E70)=D$10,F70,D$10-SUM(E$17:E70))</f>
        <v>0</v>
      </c>
      <c r="E71" s="354">
        <f>IF(+I14&lt;F70,I14,D71)</f>
        <v>0</v>
      </c>
      <c r="F71" s="55">
        <f t="shared" si="36"/>
        <v>0</v>
      </c>
      <c r="G71" s="355">
        <f t="shared" si="34"/>
        <v>0</v>
      </c>
      <c r="H71" s="336">
        <f t="shared" si="35"/>
        <v>0</v>
      </c>
      <c r="I71" s="52">
        <f t="shared" si="37"/>
        <v>0</v>
      </c>
      <c r="J71" s="52"/>
      <c r="K71" s="115"/>
      <c r="L71" s="54">
        <f t="shared" si="38"/>
        <v>0</v>
      </c>
      <c r="M71" s="115"/>
      <c r="N71" s="54">
        <f t="shared" si="39"/>
        <v>0</v>
      </c>
      <c r="O71" s="54">
        <f t="shared" si="40"/>
        <v>0</v>
      </c>
      <c r="P71" s="1"/>
    </row>
    <row r="72" spans="2:16" ht="13.5" thickBot="1">
      <c r="B72" s="7" t="str">
        <f t="shared" si="6"/>
        <v/>
      </c>
      <c r="C72" s="58">
        <f>IF(D11="","-",+C71+1)</f>
        <v>2065</v>
      </c>
      <c r="D72" s="59">
        <f>IF(F71+SUM(E$17:E71)=D$10,F71,D$10-SUM(E$17:E71))</f>
        <v>0</v>
      </c>
      <c r="E72" s="357">
        <f>IF(+I14&lt;F71,I14,D72)</f>
        <v>0</v>
      </c>
      <c r="F72" s="59">
        <f t="shared" si="36"/>
        <v>0</v>
      </c>
      <c r="G72" s="59">
        <f t="shared" si="34"/>
        <v>0</v>
      </c>
      <c r="H72" s="59">
        <f t="shared" si="35"/>
        <v>0</v>
      </c>
      <c r="I72" s="61">
        <f t="shared" si="37"/>
        <v>0</v>
      </c>
      <c r="J72" s="52"/>
      <c r="K72" s="116"/>
      <c r="L72" s="62">
        <f t="shared" si="38"/>
        <v>0</v>
      </c>
      <c r="M72" s="116"/>
      <c r="N72" s="62">
        <f t="shared" si="39"/>
        <v>0</v>
      </c>
      <c r="O72" s="62">
        <f t="shared" si="40"/>
        <v>0</v>
      </c>
      <c r="P72" s="1"/>
    </row>
    <row r="73" spans="2:16">
      <c r="C73" s="12" t="s">
        <v>77</v>
      </c>
      <c r="D73" s="266"/>
      <c r="E73" s="266">
        <f>SUM(E17:E72)</f>
        <v>96565.999999999956</v>
      </c>
      <c r="F73" s="266"/>
      <c r="G73" s="266">
        <f>SUM(G17:G72)</f>
        <v>355677.106661072</v>
      </c>
      <c r="H73" s="266">
        <f>SUM(H17:H72)</f>
        <v>355677.106661072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10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9711.21052631579</v>
      </c>
      <c r="N87" s="364">
        <f>IF(J92&lt;D11,0,VLOOKUP(J92,C17:O72,11))</f>
        <v>9711.21052631579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10266.048599539739</v>
      </c>
      <c r="N88" s="367">
        <f>IF(J92&lt;D11,0,VLOOKUP(J92,C99:P154,7))</f>
        <v>10266.048599539739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Wavetrap Clinton City-Foss Tap 69kV Ckt 1*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554.83807322394932</v>
      </c>
      <c r="N89" s="369">
        <f>+N88-N87</f>
        <v>554.83807322394932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TP2009011</v>
      </c>
      <c r="E91" s="74" t="str">
        <f>E9</f>
        <v>SPP Project ID =</v>
      </c>
      <c r="F91" s="74">
        <f>F9</f>
        <v>289</v>
      </c>
      <c r="G91" s="74"/>
      <c r="H91" s="74"/>
      <c r="I91" s="74"/>
      <c r="J91" s="74"/>
    </row>
    <row r="92" spans="1:16">
      <c r="C92" s="128" t="s">
        <v>226</v>
      </c>
      <c r="D92" s="335">
        <v>96566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2010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2610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2010</v>
      </c>
      <c r="D99" s="348">
        <v>0</v>
      </c>
      <c r="E99" s="352">
        <v>946.5</v>
      </c>
      <c r="F99" s="351">
        <v>95619.5</v>
      </c>
      <c r="G99" s="376">
        <v>47809.75</v>
      </c>
      <c r="H99" s="377">
        <v>8635.0355480484341</v>
      </c>
      <c r="I99" s="378">
        <v>8635.0355480484341</v>
      </c>
      <c r="J99" s="54">
        <f t="shared" ref="J99:J130" si="41">+I99-H99</f>
        <v>0</v>
      </c>
      <c r="K99" s="54"/>
      <c r="L99" s="394">
        <f t="shared" ref="L99:L104" si="42">H99</f>
        <v>8635.0355480484341</v>
      </c>
      <c r="M99" s="395">
        <f t="shared" ref="M99:M130" si="43">IF(L99&lt;&gt;0,+H99-L99,0)</f>
        <v>0</v>
      </c>
      <c r="N99" s="394">
        <f t="shared" ref="N99:N104" si="44">I99</f>
        <v>8635.0355480484341</v>
      </c>
      <c r="O99" s="53">
        <f t="shared" ref="O99:O130" si="45">IF(N99&lt;&gt;0,+I99-N99,0)</f>
        <v>0</v>
      </c>
      <c r="P99" s="53">
        <f t="shared" ref="P99:P130" si="46">+O99-M99</f>
        <v>0</v>
      </c>
    </row>
    <row r="100" spans="1:16">
      <c r="B100" s="7" t="str">
        <f>IF(D100=F99,"","IU")</f>
        <v/>
      </c>
      <c r="C100" s="50">
        <f>IF(D93="","-",+C99+1)</f>
        <v>2011</v>
      </c>
      <c r="D100" s="348">
        <v>95619.5</v>
      </c>
      <c r="E100" s="352">
        <v>1857</v>
      </c>
      <c r="F100" s="351">
        <v>93762.5</v>
      </c>
      <c r="G100" s="351">
        <v>94691</v>
      </c>
      <c r="H100" s="352">
        <v>15096.07425133265</v>
      </c>
      <c r="I100" s="353">
        <v>15096.07425133265</v>
      </c>
      <c r="J100" s="54">
        <f t="shared" si="41"/>
        <v>0</v>
      </c>
      <c r="K100" s="54"/>
      <c r="L100" s="379">
        <f t="shared" si="42"/>
        <v>15096.07425133265</v>
      </c>
      <c r="M100" s="380">
        <f t="shared" si="43"/>
        <v>0</v>
      </c>
      <c r="N100" s="379">
        <f t="shared" si="44"/>
        <v>15096.07425133265</v>
      </c>
      <c r="O100" s="54">
        <f t="shared" si="45"/>
        <v>0</v>
      </c>
      <c r="P100" s="54">
        <f t="shared" si="46"/>
        <v>0</v>
      </c>
    </row>
    <row r="101" spans="1:16">
      <c r="B101" s="7" t="str">
        <f t="shared" ref="B101:B154" si="47">IF(D101=F100,"","IU")</f>
        <v/>
      </c>
      <c r="C101" s="50">
        <f>IF(D93="","-",+C100+1)</f>
        <v>2012</v>
      </c>
      <c r="D101" s="348">
        <v>93762.5</v>
      </c>
      <c r="E101" s="352">
        <v>1857</v>
      </c>
      <c r="F101" s="351">
        <v>91905.5</v>
      </c>
      <c r="G101" s="351">
        <v>92834</v>
      </c>
      <c r="H101" s="352">
        <v>15211.679797187964</v>
      </c>
      <c r="I101" s="353">
        <v>15211.679797187964</v>
      </c>
      <c r="J101" s="54">
        <v>0</v>
      </c>
      <c r="K101" s="54"/>
      <c r="L101" s="379">
        <f t="shared" si="42"/>
        <v>15211.679797187964</v>
      </c>
      <c r="M101" s="380">
        <f t="shared" ref="M101:M106" si="48">IF(L101&lt;&gt;0,+H101-L101,0)</f>
        <v>0</v>
      </c>
      <c r="N101" s="379">
        <f t="shared" si="44"/>
        <v>15211.679797187964</v>
      </c>
      <c r="O101" s="54">
        <f t="shared" ref="O101:O106" si="49">IF(N101&lt;&gt;0,+I101-N101,0)</f>
        <v>0</v>
      </c>
      <c r="P101" s="54">
        <f t="shared" ref="P101:P106" si="50">+O101-M101</f>
        <v>0</v>
      </c>
    </row>
    <row r="102" spans="1:16">
      <c r="B102" s="7" t="str">
        <f t="shared" si="47"/>
        <v/>
      </c>
      <c r="C102" s="50">
        <f>IF(D93="","-",+C101+1)</f>
        <v>2013</v>
      </c>
      <c r="D102" s="348">
        <v>91905.5</v>
      </c>
      <c r="E102" s="352">
        <v>1857</v>
      </c>
      <c r="F102" s="351">
        <v>90048.5</v>
      </c>
      <c r="G102" s="351">
        <v>90977</v>
      </c>
      <c r="H102" s="352">
        <v>14952.192437840908</v>
      </c>
      <c r="I102" s="353">
        <v>14952.192437840908</v>
      </c>
      <c r="J102" s="54">
        <v>0</v>
      </c>
      <c r="K102" s="54"/>
      <c r="L102" s="379">
        <f t="shared" si="42"/>
        <v>14952.192437840908</v>
      </c>
      <c r="M102" s="380">
        <f t="shared" si="48"/>
        <v>0</v>
      </c>
      <c r="N102" s="379">
        <f t="shared" si="44"/>
        <v>14952.192437840908</v>
      </c>
      <c r="O102" s="54">
        <f t="shared" si="49"/>
        <v>0</v>
      </c>
      <c r="P102" s="54">
        <f t="shared" si="50"/>
        <v>0</v>
      </c>
    </row>
    <row r="103" spans="1:16">
      <c r="B103" s="7" t="str">
        <f t="shared" si="47"/>
        <v/>
      </c>
      <c r="C103" s="50">
        <f>IF(D93="","-",+C102+1)</f>
        <v>2014</v>
      </c>
      <c r="D103" s="348">
        <v>90048.5</v>
      </c>
      <c r="E103" s="352">
        <v>1857</v>
      </c>
      <c r="F103" s="351">
        <v>88191.5</v>
      </c>
      <c r="G103" s="351">
        <v>89120</v>
      </c>
      <c r="H103" s="352">
        <v>14386.907699066522</v>
      </c>
      <c r="I103" s="353">
        <v>14386.907699066522</v>
      </c>
      <c r="J103" s="54">
        <v>0</v>
      </c>
      <c r="K103" s="54"/>
      <c r="L103" s="379">
        <f t="shared" si="42"/>
        <v>14386.907699066522</v>
      </c>
      <c r="M103" s="380">
        <f t="shared" si="48"/>
        <v>0</v>
      </c>
      <c r="N103" s="379">
        <f t="shared" si="44"/>
        <v>14386.907699066522</v>
      </c>
      <c r="O103" s="54">
        <f t="shared" si="49"/>
        <v>0</v>
      </c>
      <c r="P103" s="54">
        <f t="shared" si="50"/>
        <v>0</v>
      </c>
    </row>
    <row r="104" spans="1:16">
      <c r="B104" s="7" t="str">
        <f t="shared" si="47"/>
        <v/>
      </c>
      <c r="C104" s="50">
        <f>IF(D93="","-",+C103+1)</f>
        <v>2015</v>
      </c>
      <c r="D104" s="348">
        <v>88191.5</v>
      </c>
      <c r="E104" s="352">
        <v>1857</v>
      </c>
      <c r="F104" s="351">
        <v>86334.5</v>
      </c>
      <c r="G104" s="351">
        <v>87263</v>
      </c>
      <c r="H104" s="352">
        <v>13763.334720904193</v>
      </c>
      <c r="I104" s="353">
        <v>13763.334720904193</v>
      </c>
      <c r="J104" s="54">
        <f t="shared" si="41"/>
        <v>0</v>
      </c>
      <c r="K104" s="54"/>
      <c r="L104" s="379">
        <f t="shared" si="42"/>
        <v>13763.334720904193</v>
      </c>
      <c r="M104" s="380">
        <f t="shared" si="48"/>
        <v>0</v>
      </c>
      <c r="N104" s="379">
        <f t="shared" si="44"/>
        <v>13763.334720904193</v>
      </c>
      <c r="O104" s="54">
        <f t="shared" si="49"/>
        <v>0</v>
      </c>
      <c r="P104" s="54">
        <f t="shared" si="50"/>
        <v>0</v>
      </c>
    </row>
    <row r="105" spans="1:16">
      <c r="B105" s="7" t="str">
        <f t="shared" si="47"/>
        <v/>
      </c>
      <c r="C105" s="50">
        <f>IF(D93="","-",+C104+1)</f>
        <v>2016</v>
      </c>
      <c r="D105" s="348">
        <v>86334.5</v>
      </c>
      <c r="E105" s="352">
        <v>2099</v>
      </c>
      <c r="F105" s="351">
        <v>84235.5</v>
      </c>
      <c r="G105" s="351">
        <v>85285</v>
      </c>
      <c r="H105" s="352">
        <v>13093.579642748955</v>
      </c>
      <c r="I105" s="353">
        <v>13093.579642748955</v>
      </c>
      <c r="J105" s="54">
        <f t="shared" si="41"/>
        <v>0</v>
      </c>
      <c r="K105" s="54"/>
      <c r="L105" s="379">
        <f t="shared" ref="L105:L110" si="51">H105</f>
        <v>13093.579642748955</v>
      </c>
      <c r="M105" s="380">
        <f t="shared" si="48"/>
        <v>0</v>
      </c>
      <c r="N105" s="379">
        <f t="shared" ref="N105:N110" si="52">I105</f>
        <v>13093.579642748955</v>
      </c>
      <c r="O105" s="54">
        <f t="shared" si="49"/>
        <v>0</v>
      </c>
      <c r="P105" s="54">
        <f t="shared" si="50"/>
        <v>0</v>
      </c>
    </row>
    <row r="106" spans="1:16">
      <c r="B106" s="7" t="str">
        <f t="shared" si="47"/>
        <v/>
      </c>
      <c r="C106" s="50">
        <f>IF(D93="","-",+C105+1)</f>
        <v>2017</v>
      </c>
      <c r="D106" s="348">
        <v>84235.5</v>
      </c>
      <c r="E106" s="352">
        <v>2099</v>
      </c>
      <c r="F106" s="351">
        <v>82136.5</v>
      </c>
      <c r="G106" s="351">
        <v>83186</v>
      </c>
      <c r="H106" s="352">
        <v>12651.353853573521</v>
      </c>
      <c r="I106" s="353">
        <v>12651.353853573521</v>
      </c>
      <c r="J106" s="54">
        <f t="shared" si="41"/>
        <v>0</v>
      </c>
      <c r="K106" s="54"/>
      <c r="L106" s="379">
        <f t="shared" si="51"/>
        <v>12651.353853573521</v>
      </c>
      <c r="M106" s="380">
        <f t="shared" si="48"/>
        <v>0</v>
      </c>
      <c r="N106" s="379">
        <f t="shared" si="52"/>
        <v>12651.353853573521</v>
      </c>
      <c r="O106" s="54">
        <f t="shared" si="49"/>
        <v>0</v>
      </c>
      <c r="P106" s="54">
        <f t="shared" si="50"/>
        <v>0</v>
      </c>
    </row>
    <row r="107" spans="1:16">
      <c r="B107" s="7" t="str">
        <f t="shared" si="47"/>
        <v/>
      </c>
      <c r="C107" s="50">
        <f>IF(D93="","-",+C106+1)</f>
        <v>2018</v>
      </c>
      <c r="D107" s="348">
        <v>82136.5</v>
      </c>
      <c r="E107" s="352">
        <v>2246</v>
      </c>
      <c r="F107" s="351">
        <v>79890.5</v>
      </c>
      <c r="G107" s="351">
        <v>81013.5</v>
      </c>
      <c r="H107" s="352">
        <v>10568.967843132519</v>
      </c>
      <c r="I107" s="353">
        <v>10568.967843132519</v>
      </c>
      <c r="J107" s="54">
        <f t="shared" si="41"/>
        <v>0</v>
      </c>
      <c r="K107" s="54"/>
      <c r="L107" s="379">
        <f t="shared" si="51"/>
        <v>10568.967843132519</v>
      </c>
      <c r="M107" s="380">
        <f t="shared" ref="M107" si="53">IF(L107&lt;&gt;0,+H107-L107,0)</f>
        <v>0</v>
      </c>
      <c r="N107" s="379">
        <f t="shared" si="52"/>
        <v>10568.967843132519</v>
      </c>
      <c r="O107" s="54">
        <f t="shared" ref="O107" si="54">IF(N107&lt;&gt;0,+I107-N107,0)</f>
        <v>0</v>
      </c>
      <c r="P107" s="54">
        <f t="shared" ref="P107" si="55">+O107-M107</f>
        <v>0</v>
      </c>
    </row>
    <row r="108" spans="1:16">
      <c r="B108" s="7" t="str">
        <f t="shared" si="47"/>
        <v/>
      </c>
      <c r="C108" s="50">
        <f>IF(D93="","-",+C107+1)</f>
        <v>2019</v>
      </c>
      <c r="D108" s="348">
        <v>79890.5</v>
      </c>
      <c r="E108" s="352">
        <v>2355</v>
      </c>
      <c r="F108" s="351">
        <v>77535.5</v>
      </c>
      <c r="G108" s="351">
        <v>78713</v>
      </c>
      <c r="H108" s="352">
        <v>10471.414334884656</v>
      </c>
      <c r="I108" s="353">
        <v>10471.414334884656</v>
      </c>
      <c r="J108" s="54">
        <f t="shared" si="41"/>
        <v>0</v>
      </c>
      <c r="K108" s="54"/>
      <c r="L108" s="379">
        <f t="shared" si="51"/>
        <v>10471.414334884656</v>
      </c>
      <c r="M108" s="380">
        <f t="shared" ref="M108" si="56">IF(L108&lt;&gt;0,+H108-L108,0)</f>
        <v>0</v>
      </c>
      <c r="N108" s="379">
        <f t="shared" si="52"/>
        <v>10471.414334884656</v>
      </c>
      <c r="O108" s="54">
        <f t="shared" si="45"/>
        <v>0</v>
      </c>
      <c r="P108" s="54">
        <f t="shared" si="46"/>
        <v>0</v>
      </c>
    </row>
    <row r="109" spans="1:16">
      <c r="B109" s="7" t="str">
        <f t="shared" si="47"/>
        <v/>
      </c>
      <c r="C109" s="50">
        <f>IF(D93="","-",+C108+1)</f>
        <v>2020</v>
      </c>
      <c r="D109" s="348">
        <v>77535.5</v>
      </c>
      <c r="E109" s="352">
        <v>2246</v>
      </c>
      <c r="F109" s="351">
        <v>75289.5</v>
      </c>
      <c r="G109" s="351">
        <v>76412.5</v>
      </c>
      <c r="H109" s="352">
        <v>11056.151171153304</v>
      </c>
      <c r="I109" s="353">
        <v>11056.151171153304</v>
      </c>
      <c r="J109" s="54">
        <f t="shared" si="41"/>
        <v>0</v>
      </c>
      <c r="K109" s="54"/>
      <c r="L109" s="379">
        <f t="shared" si="51"/>
        <v>11056.151171153304</v>
      </c>
      <c r="M109" s="380">
        <f t="shared" ref="M109" si="57">IF(L109&lt;&gt;0,+H109-L109,0)</f>
        <v>0</v>
      </c>
      <c r="N109" s="379">
        <f t="shared" si="52"/>
        <v>11056.151171153304</v>
      </c>
      <c r="O109" s="54">
        <f t="shared" si="45"/>
        <v>0</v>
      </c>
      <c r="P109" s="54">
        <f t="shared" si="46"/>
        <v>0</v>
      </c>
    </row>
    <row r="110" spans="1:16">
      <c r="B110" s="7" t="str">
        <f t="shared" si="47"/>
        <v/>
      </c>
      <c r="C110" s="50">
        <f>IF(D93="","-",+C109+1)</f>
        <v>2021</v>
      </c>
      <c r="D110" s="348">
        <v>75289.5</v>
      </c>
      <c r="E110" s="352">
        <v>2355</v>
      </c>
      <c r="F110" s="351">
        <v>72934.5</v>
      </c>
      <c r="G110" s="351">
        <v>74112</v>
      </c>
      <c r="H110" s="352">
        <v>10788.411477147845</v>
      </c>
      <c r="I110" s="353">
        <v>10788.411477147845</v>
      </c>
      <c r="J110" s="54">
        <f t="shared" si="41"/>
        <v>0</v>
      </c>
      <c r="K110" s="54"/>
      <c r="L110" s="379">
        <f t="shared" si="51"/>
        <v>10788.411477147845</v>
      </c>
      <c r="M110" s="380">
        <f t="shared" ref="M110" si="58">IF(L110&lt;&gt;0,+H110-L110,0)</f>
        <v>0</v>
      </c>
      <c r="N110" s="379">
        <f t="shared" si="52"/>
        <v>10788.411477147845</v>
      </c>
      <c r="O110" s="54">
        <f t="shared" si="45"/>
        <v>0</v>
      </c>
      <c r="P110" s="54">
        <f t="shared" si="46"/>
        <v>0</v>
      </c>
    </row>
    <row r="111" spans="1:16">
      <c r="B111" s="7" t="str">
        <f t="shared" si="47"/>
        <v/>
      </c>
      <c r="C111" s="50">
        <f>IF(D93="","-",+C110+1)</f>
        <v>2022</v>
      </c>
      <c r="D111" s="348">
        <v>72934.5</v>
      </c>
      <c r="E111" s="352">
        <v>2476</v>
      </c>
      <c r="F111" s="351">
        <v>70458.5</v>
      </c>
      <c r="G111" s="351">
        <v>71696.5</v>
      </c>
      <c r="H111" s="352">
        <v>10375.710571899024</v>
      </c>
      <c r="I111" s="353">
        <v>10375.710571899024</v>
      </c>
      <c r="J111" s="54">
        <f t="shared" si="41"/>
        <v>0</v>
      </c>
      <c r="K111" s="54"/>
      <c r="L111" s="379">
        <f t="shared" ref="L111" si="59">H111</f>
        <v>10375.710571899024</v>
      </c>
      <c r="M111" s="380">
        <f t="shared" ref="M111" si="60">IF(L111&lt;&gt;0,+H111-L111,0)</f>
        <v>0</v>
      </c>
      <c r="N111" s="379">
        <f t="shared" ref="N111" si="61">I111</f>
        <v>10375.710571899024</v>
      </c>
      <c r="O111" s="54">
        <f t="shared" ref="O111" si="62">IF(N111&lt;&gt;0,+I111-N111,0)</f>
        <v>0</v>
      </c>
      <c r="P111" s="54">
        <f t="shared" ref="P111" si="63">+O111-M111</f>
        <v>0</v>
      </c>
    </row>
    <row r="112" spans="1:16">
      <c r="B112" s="7" t="str">
        <f t="shared" si="47"/>
        <v/>
      </c>
      <c r="C112" s="50">
        <f>IF(D93="","-",+C111+1)</f>
        <v>2023</v>
      </c>
      <c r="D112" s="348">
        <v>70458.5</v>
      </c>
      <c r="E112" s="352">
        <v>2541</v>
      </c>
      <c r="F112" s="351">
        <v>67917.5</v>
      </c>
      <c r="G112" s="351">
        <v>69188</v>
      </c>
      <c r="H112" s="352">
        <v>10444.141346801007</v>
      </c>
      <c r="I112" s="353">
        <v>10444.141346801007</v>
      </c>
      <c r="J112" s="54">
        <f t="shared" si="41"/>
        <v>0</v>
      </c>
      <c r="K112" s="54"/>
      <c r="L112" s="379">
        <f t="shared" ref="L112" si="64">H112</f>
        <v>10444.141346801007</v>
      </c>
      <c r="M112" s="380">
        <f t="shared" ref="M112" si="65">IF(L112&lt;&gt;0,+H112-L112,0)</f>
        <v>0</v>
      </c>
      <c r="N112" s="379">
        <f t="shared" ref="N112" si="66">I112</f>
        <v>10444.141346801007</v>
      </c>
      <c r="O112" s="54">
        <f t="shared" ref="O112" si="67">IF(N112&lt;&gt;0,+I112-N112,0)</f>
        <v>0</v>
      </c>
      <c r="P112" s="54">
        <f t="shared" ref="P112" si="68">+O112-M112</f>
        <v>0</v>
      </c>
    </row>
    <row r="113" spans="2:16">
      <c r="B113" s="7" t="str">
        <f t="shared" si="47"/>
        <v/>
      </c>
      <c r="C113" s="50">
        <f>IF(D93="","-",+C112+1)</f>
        <v>2024</v>
      </c>
      <c r="D113" s="348">
        <v>67917.5</v>
      </c>
      <c r="E113" s="352">
        <v>2610</v>
      </c>
      <c r="F113" s="351">
        <v>65307.5</v>
      </c>
      <c r="G113" s="351">
        <v>66612.5</v>
      </c>
      <c r="H113" s="352">
        <v>11557.305053712733</v>
      </c>
      <c r="I113" s="353">
        <v>11557.305053712733</v>
      </c>
      <c r="J113" s="54">
        <f t="shared" si="41"/>
        <v>0</v>
      </c>
      <c r="K113" s="54"/>
      <c r="L113" s="115"/>
      <c r="M113" s="54">
        <f t="shared" si="43"/>
        <v>0</v>
      </c>
      <c r="N113" s="115"/>
      <c r="O113" s="54">
        <f t="shared" si="45"/>
        <v>0</v>
      </c>
      <c r="P113" s="54">
        <f t="shared" si="46"/>
        <v>0</v>
      </c>
    </row>
    <row r="114" spans="2:16">
      <c r="B114" s="7" t="str">
        <f t="shared" si="47"/>
        <v/>
      </c>
      <c r="C114" s="50">
        <f>IF(D93="","-",+C113+1)</f>
        <v>2025</v>
      </c>
      <c r="D114" s="12">
        <f>IF(F113+SUM(E$99:E113)=D$92,F113,D$92-SUM(E$99:E113))</f>
        <v>65307.5</v>
      </c>
      <c r="E114" s="355">
        <f>IF(+J96&lt;F113,J96,D114)</f>
        <v>2610</v>
      </c>
      <c r="F114" s="55">
        <f t="shared" ref="F114:F129" si="69">+D114-E114</f>
        <v>62697.5</v>
      </c>
      <c r="G114" s="55">
        <f t="shared" ref="G114:G129" si="70">+(F114+D114)/2</f>
        <v>64002.5</v>
      </c>
      <c r="H114" s="355">
        <f t="shared" ref="H114:H153" si="71">(D114+F114)/2*J$94+E114</f>
        <v>10266.048599539739</v>
      </c>
      <c r="I114" s="381">
        <f t="shared" ref="I114:I153" si="72">+J$95*G114+E114</f>
        <v>10266.048599539739</v>
      </c>
      <c r="J114" s="54">
        <f t="shared" si="41"/>
        <v>0</v>
      </c>
      <c r="K114" s="54"/>
      <c r="L114" s="115"/>
      <c r="M114" s="54">
        <f t="shared" si="43"/>
        <v>0</v>
      </c>
      <c r="N114" s="115"/>
      <c r="O114" s="54">
        <f t="shared" si="45"/>
        <v>0</v>
      </c>
      <c r="P114" s="54">
        <f t="shared" si="46"/>
        <v>0</v>
      </c>
    </row>
    <row r="115" spans="2:16">
      <c r="B115" s="7" t="str">
        <f t="shared" si="47"/>
        <v/>
      </c>
      <c r="C115" s="50">
        <f>IF(D93="","-",+C114+1)</f>
        <v>2026</v>
      </c>
      <c r="D115" s="12">
        <f>IF(F114+SUM(E$99:E114)=D$92,F114,D$92-SUM(E$99:E114))</f>
        <v>62697.5</v>
      </c>
      <c r="E115" s="355">
        <f>IF(+J96&lt;F114,J96,D115)</f>
        <v>2610</v>
      </c>
      <c r="F115" s="55">
        <f t="shared" si="69"/>
        <v>60087.5</v>
      </c>
      <c r="G115" s="55">
        <f t="shared" si="70"/>
        <v>61392.5</v>
      </c>
      <c r="H115" s="355">
        <f t="shared" si="71"/>
        <v>9953.8375633333635</v>
      </c>
      <c r="I115" s="381">
        <f t="shared" si="72"/>
        <v>9953.8375633333635</v>
      </c>
      <c r="J115" s="54">
        <f t="shared" si="41"/>
        <v>0</v>
      </c>
      <c r="K115" s="54"/>
      <c r="L115" s="115"/>
      <c r="M115" s="54">
        <f t="shared" si="43"/>
        <v>0</v>
      </c>
      <c r="N115" s="115"/>
      <c r="O115" s="54">
        <f t="shared" si="45"/>
        <v>0</v>
      </c>
      <c r="P115" s="54">
        <f t="shared" si="46"/>
        <v>0</v>
      </c>
    </row>
    <row r="116" spans="2:16">
      <c r="B116" s="7" t="str">
        <f t="shared" si="47"/>
        <v/>
      </c>
      <c r="C116" s="50">
        <f>IF(D93="","-",+C115+1)</f>
        <v>2027</v>
      </c>
      <c r="D116" s="12">
        <f>IF(F115+SUM(E$99:E115)=D$92,F115,D$92-SUM(E$99:E115))</f>
        <v>60087.5</v>
      </c>
      <c r="E116" s="355">
        <f>IF(+J96&lt;F115,J96,D116)</f>
        <v>2610</v>
      </c>
      <c r="F116" s="55">
        <f t="shared" si="69"/>
        <v>57477.5</v>
      </c>
      <c r="G116" s="55">
        <f t="shared" si="70"/>
        <v>58782.5</v>
      </c>
      <c r="H116" s="355">
        <f t="shared" si="71"/>
        <v>9641.626527126984</v>
      </c>
      <c r="I116" s="381">
        <f t="shared" si="72"/>
        <v>9641.626527126984</v>
      </c>
      <c r="J116" s="54">
        <f t="shared" si="41"/>
        <v>0</v>
      </c>
      <c r="K116" s="54"/>
      <c r="L116" s="115"/>
      <c r="M116" s="54">
        <f t="shared" si="43"/>
        <v>0</v>
      </c>
      <c r="N116" s="115"/>
      <c r="O116" s="54">
        <f t="shared" si="45"/>
        <v>0</v>
      </c>
      <c r="P116" s="54">
        <f t="shared" si="46"/>
        <v>0</v>
      </c>
    </row>
    <row r="117" spans="2:16">
      <c r="B117" s="7" t="str">
        <f t="shared" si="47"/>
        <v/>
      </c>
      <c r="C117" s="50">
        <f>IF(D93="","-",+C116+1)</f>
        <v>2028</v>
      </c>
      <c r="D117" s="12">
        <f>IF(F116+SUM(E$99:E116)=D$92,F116,D$92-SUM(E$99:E116))</f>
        <v>57477.5</v>
      </c>
      <c r="E117" s="355">
        <f>IF(+J96&lt;F116,J96,D117)</f>
        <v>2610</v>
      </c>
      <c r="F117" s="55">
        <f t="shared" si="69"/>
        <v>54867.5</v>
      </c>
      <c r="G117" s="55">
        <f t="shared" si="70"/>
        <v>56172.5</v>
      </c>
      <c r="H117" s="355">
        <f t="shared" si="71"/>
        <v>9329.4154909206063</v>
      </c>
      <c r="I117" s="381">
        <f t="shared" si="72"/>
        <v>9329.4154909206063</v>
      </c>
      <c r="J117" s="54">
        <f t="shared" si="41"/>
        <v>0</v>
      </c>
      <c r="K117" s="54"/>
      <c r="L117" s="115"/>
      <c r="M117" s="54">
        <f t="shared" si="43"/>
        <v>0</v>
      </c>
      <c r="N117" s="115"/>
      <c r="O117" s="54">
        <f t="shared" si="45"/>
        <v>0</v>
      </c>
      <c r="P117" s="54">
        <f t="shared" si="46"/>
        <v>0</v>
      </c>
    </row>
    <row r="118" spans="2:16">
      <c r="B118" s="7" t="str">
        <f t="shared" si="47"/>
        <v/>
      </c>
      <c r="C118" s="50">
        <f>IF(D93="","-",+C117+1)</f>
        <v>2029</v>
      </c>
      <c r="D118" s="12">
        <f>IF(F117+SUM(E$99:E117)=D$92,F117,D$92-SUM(E$99:E117))</f>
        <v>54867.5</v>
      </c>
      <c r="E118" s="355">
        <f>IF(+J96&lt;F117,J96,D118)</f>
        <v>2610</v>
      </c>
      <c r="F118" s="55">
        <f t="shared" si="69"/>
        <v>52257.5</v>
      </c>
      <c r="G118" s="55">
        <f t="shared" si="70"/>
        <v>53562.5</v>
      </c>
      <c r="H118" s="355">
        <f t="shared" si="71"/>
        <v>9017.2044547142286</v>
      </c>
      <c r="I118" s="381">
        <f t="shared" si="72"/>
        <v>9017.2044547142286</v>
      </c>
      <c r="J118" s="54">
        <f t="shared" si="41"/>
        <v>0</v>
      </c>
      <c r="K118" s="54"/>
      <c r="L118" s="115"/>
      <c r="M118" s="54">
        <f t="shared" si="43"/>
        <v>0</v>
      </c>
      <c r="N118" s="115"/>
      <c r="O118" s="54">
        <f t="shared" si="45"/>
        <v>0</v>
      </c>
      <c r="P118" s="54">
        <f t="shared" si="46"/>
        <v>0</v>
      </c>
    </row>
    <row r="119" spans="2:16">
      <c r="B119" s="7" t="str">
        <f t="shared" si="47"/>
        <v/>
      </c>
      <c r="C119" s="50">
        <f>IF(D93="","-",+C118+1)</f>
        <v>2030</v>
      </c>
      <c r="D119" s="12">
        <f>IF(F118+SUM(E$99:E118)=D$92,F118,D$92-SUM(E$99:E118))</f>
        <v>52257.5</v>
      </c>
      <c r="E119" s="355">
        <f>IF(+J96&lt;F118,J96,D119)</f>
        <v>2610</v>
      </c>
      <c r="F119" s="55">
        <f t="shared" si="69"/>
        <v>49647.5</v>
      </c>
      <c r="G119" s="55">
        <f t="shared" si="70"/>
        <v>50952.5</v>
      </c>
      <c r="H119" s="355">
        <f t="shared" si="71"/>
        <v>8704.9934185078491</v>
      </c>
      <c r="I119" s="381">
        <f t="shared" si="72"/>
        <v>8704.9934185078491</v>
      </c>
      <c r="J119" s="54">
        <f t="shared" si="41"/>
        <v>0</v>
      </c>
      <c r="K119" s="54"/>
      <c r="L119" s="115"/>
      <c r="M119" s="54">
        <f t="shared" si="43"/>
        <v>0</v>
      </c>
      <c r="N119" s="115"/>
      <c r="O119" s="54">
        <f t="shared" si="45"/>
        <v>0</v>
      </c>
      <c r="P119" s="54">
        <f t="shared" si="46"/>
        <v>0</v>
      </c>
    </row>
    <row r="120" spans="2:16">
      <c r="B120" s="7" t="str">
        <f t="shared" si="47"/>
        <v/>
      </c>
      <c r="C120" s="50">
        <f>IF(D93="","-",+C119+1)</f>
        <v>2031</v>
      </c>
      <c r="D120" s="12">
        <f>IF(F119+SUM(E$99:E119)=D$92,F119,D$92-SUM(E$99:E119))</f>
        <v>49647.5</v>
      </c>
      <c r="E120" s="355">
        <f>IF(+J96&lt;F119,J96,D120)</f>
        <v>2610</v>
      </c>
      <c r="F120" s="55">
        <f t="shared" si="69"/>
        <v>47037.5</v>
      </c>
      <c r="G120" s="55">
        <f t="shared" si="70"/>
        <v>48342.5</v>
      </c>
      <c r="H120" s="355">
        <f t="shared" si="71"/>
        <v>8392.7823823014714</v>
      </c>
      <c r="I120" s="381">
        <f t="shared" si="72"/>
        <v>8392.7823823014714</v>
      </c>
      <c r="J120" s="54">
        <f t="shared" si="41"/>
        <v>0</v>
      </c>
      <c r="K120" s="54"/>
      <c r="L120" s="115"/>
      <c r="M120" s="54">
        <f t="shared" si="43"/>
        <v>0</v>
      </c>
      <c r="N120" s="115"/>
      <c r="O120" s="54">
        <f t="shared" si="45"/>
        <v>0</v>
      </c>
      <c r="P120" s="54">
        <f t="shared" si="46"/>
        <v>0</v>
      </c>
    </row>
    <row r="121" spans="2:16">
      <c r="B121" s="7" t="str">
        <f t="shared" si="47"/>
        <v/>
      </c>
      <c r="C121" s="50">
        <f>IF(D93="","-",+C120+1)</f>
        <v>2032</v>
      </c>
      <c r="D121" s="12">
        <f>IF(F120+SUM(E$99:E120)=D$92,F120,D$92-SUM(E$99:E120))</f>
        <v>47037.5</v>
      </c>
      <c r="E121" s="355">
        <f>IF(+J96&lt;F120,J96,D121)</f>
        <v>2610</v>
      </c>
      <c r="F121" s="55">
        <f t="shared" si="69"/>
        <v>44427.5</v>
      </c>
      <c r="G121" s="55">
        <f t="shared" si="70"/>
        <v>45732.5</v>
      </c>
      <c r="H121" s="355">
        <f t="shared" si="71"/>
        <v>8080.5713460950928</v>
      </c>
      <c r="I121" s="381">
        <f t="shared" si="72"/>
        <v>8080.5713460950928</v>
      </c>
      <c r="J121" s="54">
        <f t="shared" si="41"/>
        <v>0</v>
      </c>
      <c r="K121" s="54"/>
      <c r="L121" s="115"/>
      <c r="M121" s="54">
        <f t="shared" si="43"/>
        <v>0</v>
      </c>
      <c r="N121" s="115"/>
      <c r="O121" s="54">
        <f t="shared" si="45"/>
        <v>0</v>
      </c>
      <c r="P121" s="54">
        <f t="shared" si="46"/>
        <v>0</v>
      </c>
    </row>
    <row r="122" spans="2:16">
      <c r="B122" s="7" t="str">
        <f t="shared" si="47"/>
        <v/>
      </c>
      <c r="C122" s="50">
        <f>IF(D93="","-",+C121+1)</f>
        <v>2033</v>
      </c>
      <c r="D122" s="12">
        <f>IF(F121+SUM(E$99:E121)=D$92,F121,D$92-SUM(E$99:E121))</f>
        <v>44427.5</v>
      </c>
      <c r="E122" s="355">
        <f>IF(+J96&lt;F121,J96,D122)</f>
        <v>2610</v>
      </c>
      <c r="F122" s="55">
        <f t="shared" si="69"/>
        <v>41817.5</v>
      </c>
      <c r="G122" s="55">
        <f t="shared" si="70"/>
        <v>43122.5</v>
      </c>
      <c r="H122" s="355">
        <f t="shared" si="71"/>
        <v>7768.3603098887152</v>
      </c>
      <c r="I122" s="381">
        <f t="shared" si="72"/>
        <v>7768.3603098887152</v>
      </c>
      <c r="J122" s="54">
        <f t="shared" si="41"/>
        <v>0</v>
      </c>
      <c r="K122" s="54"/>
      <c r="L122" s="115"/>
      <c r="M122" s="54">
        <f t="shared" si="43"/>
        <v>0</v>
      </c>
      <c r="N122" s="115"/>
      <c r="O122" s="54">
        <f t="shared" si="45"/>
        <v>0</v>
      </c>
      <c r="P122" s="54">
        <f t="shared" si="46"/>
        <v>0</v>
      </c>
    </row>
    <row r="123" spans="2:16">
      <c r="B123" s="7" t="str">
        <f t="shared" si="47"/>
        <v/>
      </c>
      <c r="C123" s="50">
        <f>IF(D93="","-",+C122+1)</f>
        <v>2034</v>
      </c>
      <c r="D123" s="12">
        <f>IF(F122+SUM(E$99:E122)=D$92,F122,D$92-SUM(E$99:E122))</f>
        <v>41817.5</v>
      </c>
      <c r="E123" s="355">
        <f>IF(+J96&lt;F122,J96,D123)</f>
        <v>2610</v>
      </c>
      <c r="F123" s="55">
        <f t="shared" si="69"/>
        <v>39207.5</v>
      </c>
      <c r="G123" s="55">
        <f t="shared" si="70"/>
        <v>40512.5</v>
      </c>
      <c r="H123" s="355">
        <f t="shared" si="71"/>
        <v>7456.1492736823366</v>
      </c>
      <c r="I123" s="381">
        <f t="shared" si="72"/>
        <v>7456.1492736823366</v>
      </c>
      <c r="J123" s="54">
        <f t="shared" si="41"/>
        <v>0</v>
      </c>
      <c r="K123" s="54"/>
      <c r="L123" s="115"/>
      <c r="M123" s="54">
        <f t="shared" si="43"/>
        <v>0</v>
      </c>
      <c r="N123" s="115"/>
      <c r="O123" s="54">
        <f t="shared" si="45"/>
        <v>0</v>
      </c>
      <c r="P123" s="54">
        <f t="shared" si="46"/>
        <v>0</v>
      </c>
    </row>
    <row r="124" spans="2:16">
      <c r="B124" s="7" t="str">
        <f t="shared" si="47"/>
        <v/>
      </c>
      <c r="C124" s="50">
        <f>IF(D93="","-",+C123+1)</f>
        <v>2035</v>
      </c>
      <c r="D124" s="12">
        <f>IF(F123+SUM(E$99:E123)=D$92,F123,D$92-SUM(E$99:E123))</f>
        <v>39207.5</v>
      </c>
      <c r="E124" s="355">
        <f>IF(+J96&lt;F123,J96,D124)</f>
        <v>2610</v>
      </c>
      <c r="F124" s="55">
        <f t="shared" si="69"/>
        <v>36597.5</v>
      </c>
      <c r="G124" s="55">
        <f t="shared" si="70"/>
        <v>37902.5</v>
      </c>
      <c r="H124" s="355">
        <f t="shared" si="71"/>
        <v>7143.938237475958</v>
      </c>
      <c r="I124" s="381">
        <f t="shared" si="72"/>
        <v>7143.938237475958</v>
      </c>
      <c r="J124" s="54">
        <f t="shared" si="41"/>
        <v>0</v>
      </c>
      <c r="K124" s="54"/>
      <c r="L124" s="115"/>
      <c r="M124" s="54">
        <f t="shared" si="43"/>
        <v>0</v>
      </c>
      <c r="N124" s="115"/>
      <c r="O124" s="54">
        <f t="shared" si="45"/>
        <v>0</v>
      </c>
      <c r="P124" s="54">
        <f t="shared" si="46"/>
        <v>0</v>
      </c>
    </row>
    <row r="125" spans="2:16">
      <c r="B125" s="7" t="str">
        <f t="shared" si="47"/>
        <v/>
      </c>
      <c r="C125" s="50">
        <f>IF(D93="","-",+C124+1)</f>
        <v>2036</v>
      </c>
      <c r="D125" s="12">
        <f>IF(F124+SUM(E$99:E124)=D$92,F124,D$92-SUM(E$99:E124))</f>
        <v>36597.5</v>
      </c>
      <c r="E125" s="355">
        <f>IF(+J96&lt;F124,J96,D125)</f>
        <v>2610</v>
      </c>
      <c r="F125" s="55">
        <f t="shared" si="69"/>
        <v>33987.5</v>
      </c>
      <c r="G125" s="55">
        <f t="shared" si="70"/>
        <v>35292.5</v>
      </c>
      <c r="H125" s="355">
        <f t="shared" si="71"/>
        <v>6831.7272012695803</v>
      </c>
      <c r="I125" s="381">
        <f t="shared" si="72"/>
        <v>6831.7272012695803</v>
      </c>
      <c r="J125" s="54">
        <f t="shared" si="41"/>
        <v>0</v>
      </c>
      <c r="K125" s="54"/>
      <c r="L125" s="115"/>
      <c r="M125" s="54">
        <f t="shared" si="43"/>
        <v>0</v>
      </c>
      <c r="N125" s="115"/>
      <c r="O125" s="54">
        <f t="shared" si="45"/>
        <v>0</v>
      </c>
      <c r="P125" s="54">
        <f t="shared" si="46"/>
        <v>0</v>
      </c>
    </row>
    <row r="126" spans="2:16">
      <c r="B126" s="7" t="str">
        <f t="shared" si="47"/>
        <v/>
      </c>
      <c r="C126" s="50">
        <f>IF(D93="","-",+C125+1)</f>
        <v>2037</v>
      </c>
      <c r="D126" s="12">
        <f>IF(F125+SUM(E$99:E125)=D$92,F125,D$92-SUM(E$99:E125))</f>
        <v>33987.5</v>
      </c>
      <c r="E126" s="355">
        <f>IF(+J96&lt;F125,J96,D126)</f>
        <v>2610</v>
      </c>
      <c r="F126" s="55">
        <f t="shared" si="69"/>
        <v>31377.5</v>
      </c>
      <c r="G126" s="55">
        <f t="shared" si="70"/>
        <v>32682.5</v>
      </c>
      <c r="H126" s="355">
        <f t="shared" si="71"/>
        <v>6519.5161650632017</v>
      </c>
      <c r="I126" s="381">
        <f t="shared" si="72"/>
        <v>6519.5161650632017</v>
      </c>
      <c r="J126" s="54">
        <f t="shared" si="41"/>
        <v>0</v>
      </c>
      <c r="K126" s="54"/>
      <c r="L126" s="115"/>
      <c r="M126" s="54">
        <f t="shared" si="43"/>
        <v>0</v>
      </c>
      <c r="N126" s="115"/>
      <c r="O126" s="54">
        <f t="shared" si="45"/>
        <v>0</v>
      </c>
      <c r="P126" s="54">
        <f t="shared" si="46"/>
        <v>0</v>
      </c>
    </row>
    <row r="127" spans="2:16">
      <c r="B127" s="7" t="str">
        <f t="shared" si="47"/>
        <v/>
      </c>
      <c r="C127" s="50">
        <f>IF(D93="","-",+C126+1)</f>
        <v>2038</v>
      </c>
      <c r="D127" s="12">
        <f>IF(F126+SUM(E$99:E126)=D$92,F126,D$92-SUM(E$99:E126))</f>
        <v>31377.5</v>
      </c>
      <c r="E127" s="355">
        <f>IF(+J96&lt;F126,J96,D127)</f>
        <v>2610</v>
      </c>
      <c r="F127" s="55">
        <f t="shared" si="69"/>
        <v>28767.5</v>
      </c>
      <c r="G127" s="55">
        <f t="shared" si="70"/>
        <v>30072.5</v>
      </c>
      <c r="H127" s="355">
        <f t="shared" si="71"/>
        <v>6207.305128856824</v>
      </c>
      <c r="I127" s="381">
        <f t="shared" si="72"/>
        <v>6207.305128856824</v>
      </c>
      <c r="J127" s="54">
        <f t="shared" si="41"/>
        <v>0</v>
      </c>
      <c r="K127" s="54"/>
      <c r="L127" s="115"/>
      <c r="M127" s="54">
        <f t="shared" si="43"/>
        <v>0</v>
      </c>
      <c r="N127" s="115"/>
      <c r="O127" s="54">
        <f t="shared" si="45"/>
        <v>0</v>
      </c>
      <c r="P127" s="54">
        <f t="shared" si="46"/>
        <v>0</v>
      </c>
    </row>
    <row r="128" spans="2:16">
      <c r="B128" s="7" t="str">
        <f t="shared" si="47"/>
        <v/>
      </c>
      <c r="C128" s="50">
        <f>IF(D93="","-",+C127+1)</f>
        <v>2039</v>
      </c>
      <c r="D128" s="12">
        <f>IF(F127+SUM(E$99:E127)=D$92,F127,D$92-SUM(E$99:E127))</f>
        <v>28767.5</v>
      </c>
      <c r="E128" s="355">
        <f>IF(+J96&lt;F127,J96,D128)</f>
        <v>2610</v>
      </c>
      <c r="F128" s="55">
        <f t="shared" si="69"/>
        <v>26157.5</v>
      </c>
      <c r="G128" s="55">
        <f t="shared" si="70"/>
        <v>27462.5</v>
      </c>
      <c r="H128" s="355">
        <f t="shared" si="71"/>
        <v>5895.0940926504454</v>
      </c>
      <c r="I128" s="381">
        <f t="shared" si="72"/>
        <v>5895.0940926504454</v>
      </c>
      <c r="J128" s="54">
        <f t="shared" si="41"/>
        <v>0</v>
      </c>
      <c r="K128" s="54"/>
      <c r="L128" s="115"/>
      <c r="M128" s="54">
        <f t="shared" si="43"/>
        <v>0</v>
      </c>
      <c r="N128" s="115"/>
      <c r="O128" s="54">
        <f t="shared" si="45"/>
        <v>0</v>
      </c>
      <c r="P128" s="54">
        <f t="shared" si="46"/>
        <v>0</v>
      </c>
    </row>
    <row r="129" spans="2:16">
      <c r="B129" s="7" t="str">
        <f t="shared" si="47"/>
        <v/>
      </c>
      <c r="C129" s="50">
        <f>IF(D93="","-",+C128+1)</f>
        <v>2040</v>
      </c>
      <c r="D129" s="12">
        <f>IF(F128+SUM(E$99:E128)=D$92,F128,D$92-SUM(E$99:E128))</f>
        <v>26157.5</v>
      </c>
      <c r="E129" s="355">
        <f>IF(+J96&lt;F128,J96,D129)</f>
        <v>2610</v>
      </c>
      <c r="F129" s="55">
        <f t="shared" si="69"/>
        <v>23547.5</v>
      </c>
      <c r="G129" s="55">
        <f t="shared" si="70"/>
        <v>24852.5</v>
      </c>
      <c r="H129" s="355">
        <f t="shared" si="71"/>
        <v>5582.8830564440668</v>
      </c>
      <c r="I129" s="381">
        <f t="shared" si="72"/>
        <v>5582.8830564440668</v>
      </c>
      <c r="J129" s="54">
        <f t="shared" si="41"/>
        <v>0</v>
      </c>
      <c r="K129" s="54"/>
      <c r="L129" s="115"/>
      <c r="M129" s="54">
        <f t="shared" si="43"/>
        <v>0</v>
      </c>
      <c r="N129" s="115"/>
      <c r="O129" s="54">
        <f t="shared" si="45"/>
        <v>0</v>
      </c>
      <c r="P129" s="54">
        <f t="shared" si="46"/>
        <v>0</v>
      </c>
    </row>
    <row r="130" spans="2:16">
      <c r="B130" s="7" t="str">
        <f t="shared" si="47"/>
        <v/>
      </c>
      <c r="C130" s="50">
        <f>IF(D93="","-",+C129+1)</f>
        <v>2041</v>
      </c>
      <c r="D130" s="12">
        <f>IF(F129+SUM(E$99:E129)=D$92,F129,D$92-SUM(E$99:E129))</f>
        <v>23547.5</v>
      </c>
      <c r="E130" s="355">
        <f>IF(+J96&lt;F129,J96,D130)</f>
        <v>2610</v>
      </c>
      <c r="F130" s="55">
        <f t="shared" ref="F130:F145" si="73">+D130-E130</f>
        <v>20937.5</v>
      </c>
      <c r="G130" s="55">
        <f t="shared" ref="G130:G145" si="74">+(F130+D130)/2</f>
        <v>22242.5</v>
      </c>
      <c r="H130" s="355">
        <f t="shared" si="71"/>
        <v>5270.6720202376891</v>
      </c>
      <c r="I130" s="381">
        <f t="shared" si="72"/>
        <v>5270.6720202376891</v>
      </c>
      <c r="J130" s="54">
        <f t="shared" si="41"/>
        <v>0</v>
      </c>
      <c r="K130" s="54"/>
      <c r="L130" s="115"/>
      <c r="M130" s="54">
        <f t="shared" si="43"/>
        <v>0</v>
      </c>
      <c r="N130" s="115"/>
      <c r="O130" s="54">
        <f t="shared" si="45"/>
        <v>0</v>
      </c>
      <c r="P130" s="54">
        <f t="shared" si="46"/>
        <v>0</v>
      </c>
    </row>
    <row r="131" spans="2:16">
      <c r="B131" s="7" t="str">
        <f t="shared" si="47"/>
        <v/>
      </c>
      <c r="C131" s="50">
        <f>IF(D93="","-",+C130+1)</f>
        <v>2042</v>
      </c>
      <c r="D131" s="12">
        <f>IF(F130+SUM(E$99:E130)=D$92,F130,D$92-SUM(E$99:E130))</f>
        <v>20937.5</v>
      </c>
      <c r="E131" s="355">
        <f>IF(+J96&lt;F130,J96,D131)</f>
        <v>2610</v>
      </c>
      <c r="F131" s="55">
        <f t="shared" si="73"/>
        <v>18327.5</v>
      </c>
      <c r="G131" s="55">
        <f t="shared" si="74"/>
        <v>19632.5</v>
      </c>
      <c r="H131" s="355">
        <f t="shared" si="71"/>
        <v>4958.4609840313105</v>
      </c>
      <c r="I131" s="381">
        <f t="shared" si="72"/>
        <v>4958.4609840313105</v>
      </c>
      <c r="J131" s="54">
        <f t="shared" ref="J131:J154" si="75">+I541-H541</f>
        <v>0</v>
      </c>
      <c r="K131" s="54"/>
      <c r="L131" s="115"/>
      <c r="M131" s="54">
        <f t="shared" ref="M131:M154" si="76">IF(L541&lt;&gt;0,+H541-L541,0)</f>
        <v>0</v>
      </c>
      <c r="N131" s="115"/>
      <c r="O131" s="54">
        <f t="shared" ref="O131:O154" si="77">IF(N541&lt;&gt;0,+I541-N541,0)</f>
        <v>0</v>
      </c>
      <c r="P131" s="54">
        <f t="shared" ref="P131:P154" si="78">+O541-M541</f>
        <v>0</v>
      </c>
    </row>
    <row r="132" spans="2:16">
      <c r="B132" s="7" t="str">
        <f t="shared" si="47"/>
        <v/>
      </c>
      <c r="C132" s="50">
        <f>IF(D93="","-",+C131+1)</f>
        <v>2043</v>
      </c>
      <c r="D132" s="12">
        <f>IF(F131+SUM(E$99:E131)=D$92,F131,D$92-SUM(E$99:E131))</f>
        <v>18327.5</v>
      </c>
      <c r="E132" s="355">
        <f>IF(+J96&lt;F131,J96,D132)</f>
        <v>2610</v>
      </c>
      <c r="F132" s="55">
        <f t="shared" si="73"/>
        <v>15717.5</v>
      </c>
      <c r="G132" s="55">
        <f t="shared" si="74"/>
        <v>17022.5</v>
      </c>
      <c r="H132" s="355">
        <f t="shared" si="71"/>
        <v>4646.249947824932</v>
      </c>
      <c r="I132" s="381">
        <f t="shared" si="72"/>
        <v>4646.249947824932</v>
      </c>
      <c r="J132" s="54">
        <f t="shared" si="75"/>
        <v>0</v>
      </c>
      <c r="K132" s="54"/>
      <c r="L132" s="115"/>
      <c r="M132" s="54">
        <f t="shared" si="76"/>
        <v>0</v>
      </c>
      <c r="N132" s="115"/>
      <c r="O132" s="54">
        <f t="shared" si="77"/>
        <v>0</v>
      </c>
      <c r="P132" s="54">
        <f t="shared" si="78"/>
        <v>0</v>
      </c>
    </row>
    <row r="133" spans="2:16">
      <c r="B133" s="7" t="str">
        <f t="shared" si="47"/>
        <v/>
      </c>
      <c r="C133" s="50">
        <f>IF(D93="","-",+C132+1)</f>
        <v>2044</v>
      </c>
      <c r="D133" s="12">
        <f>IF(F132+SUM(E$99:E132)=D$92,F132,D$92-SUM(E$99:E132))</f>
        <v>15717.5</v>
      </c>
      <c r="E133" s="355">
        <f>IF(+J96&lt;F132,J96,D133)</f>
        <v>2610</v>
      </c>
      <c r="F133" s="55">
        <f t="shared" si="73"/>
        <v>13107.5</v>
      </c>
      <c r="G133" s="55">
        <f t="shared" si="74"/>
        <v>14412.5</v>
      </c>
      <c r="H133" s="355">
        <f t="shared" si="71"/>
        <v>4334.0389116185543</v>
      </c>
      <c r="I133" s="381">
        <f t="shared" si="72"/>
        <v>4334.0389116185543</v>
      </c>
      <c r="J133" s="54">
        <f t="shared" si="75"/>
        <v>0</v>
      </c>
      <c r="K133" s="54"/>
      <c r="L133" s="115"/>
      <c r="M133" s="54">
        <f t="shared" si="76"/>
        <v>0</v>
      </c>
      <c r="N133" s="115"/>
      <c r="O133" s="54">
        <f t="shared" si="77"/>
        <v>0</v>
      </c>
      <c r="P133" s="54">
        <f t="shared" si="78"/>
        <v>0</v>
      </c>
    </row>
    <row r="134" spans="2:16">
      <c r="B134" s="7" t="str">
        <f t="shared" si="47"/>
        <v/>
      </c>
      <c r="C134" s="50">
        <f>IF(D93="","-",+C133+1)</f>
        <v>2045</v>
      </c>
      <c r="D134" s="12">
        <f>IF(F133+SUM(E$99:E133)=D$92,F133,D$92-SUM(E$99:E133))</f>
        <v>13107.5</v>
      </c>
      <c r="E134" s="355">
        <f>IF(+J96&lt;F133,J96,D134)</f>
        <v>2610</v>
      </c>
      <c r="F134" s="55">
        <f t="shared" si="73"/>
        <v>10497.5</v>
      </c>
      <c r="G134" s="55">
        <f t="shared" si="74"/>
        <v>11802.5</v>
      </c>
      <c r="H134" s="355">
        <f t="shared" si="71"/>
        <v>4021.8278754121757</v>
      </c>
      <c r="I134" s="381">
        <f t="shared" si="72"/>
        <v>4021.8278754121757</v>
      </c>
      <c r="J134" s="54">
        <f t="shared" si="75"/>
        <v>0</v>
      </c>
      <c r="K134" s="54"/>
      <c r="L134" s="115"/>
      <c r="M134" s="54">
        <f t="shared" si="76"/>
        <v>0</v>
      </c>
      <c r="N134" s="115"/>
      <c r="O134" s="54">
        <f t="shared" si="77"/>
        <v>0</v>
      </c>
      <c r="P134" s="54">
        <f t="shared" si="78"/>
        <v>0</v>
      </c>
    </row>
    <row r="135" spans="2:16">
      <c r="B135" s="7" t="str">
        <f t="shared" si="47"/>
        <v/>
      </c>
      <c r="C135" s="50">
        <f>IF(D93="","-",+C134+1)</f>
        <v>2046</v>
      </c>
      <c r="D135" s="12">
        <f>IF(F134+SUM(E$99:E134)=D$92,F134,D$92-SUM(E$99:E134))</f>
        <v>10497.5</v>
      </c>
      <c r="E135" s="355">
        <f>IF(+J96&lt;F134,J96,D135)</f>
        <v>2610</v>
      </c>
      <c r="F135" s="55">
        <f t="shared" si="73"/>
        <v>7887.5</v>
      </c>
      <c r="G135" s="55">
        <f t="shared" si="74"/>
        <v>9192.5</v>
      </c>
      <c r="H135" s="355">
        <f t="shared" si="71"/>
        <v>3709.616839205798</v>
      </c>
      <c r="I135" s="381">
        <f t="shared" si="72"/>
        <v>3709.616839205798</v>
      </c>
      <c r="J135" s="54">
        <f t="shared" si="75"/>
        <v>0</v>
      </c>
      <c r="K135" s="54"/>
      <c r="L135" s="115"/>
      <c r="M135" s="54">
        <f t="shared" si="76"/>
        <v>0</v>
      </c>
      <c r="N135" s="115"/>
      <c r="O135" s="54">
        <f t="shared" si="77"/>
        <v>0</v>
      </c>
      <c r="P135" s="54">
        <f t="shared" si="78"/>
        <v>0</v>
      </c>
    </row>
    <row r="136" spans="2:16">
      <c r="B136" s="7" t="str">
        <f t="shared" si="47"/>
        <v/>
      </c>
      <c r="C136" s="50">
        <f>IF(D93="","-",+C135+1)</f>
        <v>2047</v>
      </c>
      <c r="D136" s="12">
        <f>IF(F135+SUM(E$99:E135)=D$92,F135,D$92-SUM(E$99:E135))</f>
        <v>7887.5</v>
      </c>
      <c r="E136" s="355">
        <f>IF(+J96&lt;F135,J96,D136)</f>
        <v>2610</v>
      </c>
      <c r="F136" s="55">
        <f t="shared" si="73"/>
        <v>5277.5</v>
      </c>
      <c r="G136" s="55">
        <f t="shared" si="74"/>
        <v>6582.5</v>
      </c>
      <c r="H136" s="355">
        <f t="shared" si="71"/>
        <v>3397.4058029994194</v>
      </c>
      <c r="I136" s="381">
        <f t="shared" si="72"/>
        <v>3397.4058029994194</v>
      </c>
      <c r="J136" s="54">
        <f t="shared" si="75"/>
        <v>0</v>
      </c>
      <c r="K136" s="54"/>
      <c r="L136" s="115"/>
      <c r="M136" s="54">
        <f t="shared" si="76"/>
        <v>0</v>
      </c>
      <c r="N136" s="115"/>
      <c r="O136" s="54">
        <f t="shared" si="77"/>
        <v>0</v>
      </c>
      <c r="P136" s="54">
        <f t="shared" si="78"/>
        <v>0</v>
      </c>
    </row>
    <row r="137" spans="2:16">
      <c r="B137" s="7" t="str">
        <f t="shared" si="47"/>
        <v/>
      </c>
      <c r="C137" s="50">
        <f>IF(D93="","-",+C136+1)</f>
        <v>2048</v>
      </c>
      <c r="D137" s="12">
        <f>IF(F136+SUM(E$99:E136)=D$92,F136,D$92-SUM(E$99:E136))</f>
        <v>5277.5</v>
      </c>
      <c r="E137" s="355">
        <f>IF(+J96&lt;F136,J96,D137)</f>
        <v>2610</v>
      </c>
      <c r="F137" s="55">
        <f t="shared" si="73"/>
        <v>2667.5</v>
      </c>
      <c r="G137" s="55">
        <f t="shared" si="74"/>
        <v>3972.5</v>
      </c>
      <c r="H137" s="355">
        <f t="shared" si="71"/>
        <v>3085.1947667930413</v>
      </c>
      <c r="I137" s="381">
        <f t="shared" si="72"/>
        <v>3085.1947667930413</v>
      </c>
      <c r="J137" s="54">
        <f t="shared" si="75"/>
        <v>0</v>
      </c>
      <c r="K137" s="54"/>
      <c r="L137" s="115"/>
      <c r="M137" s="54">
        <f t="shared" si="76"/>
        <v>0</v>
      </c>
      <c r="N137" s="115"/>
      <c r="O137" s="54">
        <f t="shared" si="77"/>
        <v>0</v>
      </c>
      <c r="P137" s="54">
        <f t="shared" si="78"/>
        <v>0</v>
      </c>
    </row>
    <row r="138" spans="2:16">
      <c r="B138" s="7" t="str">
        <f t="shared" si="47"/>
        <v/>
      </c>
      <c r="C138" s="50">
        <f>IF(D93="","-",+C137+1)</f>
        <v>2049</v>
      </c>
      <c r="D138" s="12">
        <f>IF(F137+SUM(E$99:E137)=D$92,F137,D$92-SUM(E$99:E137))</f>
        <v>2667.5</v>
      </c>
      <c r="E138" s="355">
        <f>IF(+J96&lt;F137,J96,D138)</f>
        <v>2610</v>
      </c>
      <c r="F138" s="55">
        <f t="shared" si="73"/>
        <v>57.5</v>
      </c>
      <c r="G138" s="55">
        <f t="shared" si="74"/>
        <v>1362.5</v>
      </c>
      <c r="H138" s="355">
        <f t="shared" si="71"/>
        <v>2772.9837305866631</v>
      </c>
      <c r="I138" s="381">
        <f t="shared" si="72"/>
        <v>2772.9837305866631</v>
      </c>
      <c r="J138" s="54">
        <f t="shared" si="75"/>
        <v>0</v>
      </c>
      <c r="K138" s="54"/>
      <c r="L138" s="115"/>
      <c r="M138" s="54">
        <f t="shared" si="76"/>
        <v>0</v>
      </c>
      <c r="N138" s="115"/>
      <c r="O138" s="54">
        <f t="shared" si="77"/>
        <v>0</v>
      </c>
      <c r="P138" s="54">
        <f t="shared" si="78"/>
        <v>0</v>
      </c>
    </row>
    <row r="139" spans="2:16">
      <c r="B139" s="7" t="str">
        <f t="shared" si="47"/>
        <v/>
      </c>
      <c r="C139" s="50">
        <f>IF(D93="","-",+C138+1)</f>
        <v>2050</v>
      </c>
      <c r="D139" s="12">
        <f>IF(F138+SUM(E$99:E138)=D$92,F138,D$92-SUM(E$99:E138))</f>
        <v>57.5</v>
      </c>
      <c r="E139" s="355">
        <f>IF(+J96&lt;F138,J96,D139)</f>
        <v>57.5</v>
      </c>
      <c r="F139" s="55">
        <f t="shared" si="73"/>
        <v>0</v>
      </c>
      <c r="G139" s="55">
        <f t="shared" si="74"/>
        <v>28.75</v>
      </c>
      <c r="H139" s="355">
        <f t="shared" si="71"/>
        <v>60.939106241736923</v>
      </c>
      <c r="I139" s="381">
        <f t="shared" si="72"/>
        <v>60.939106241736923</v>
      </c>
      <c r="J139" s="54">
        <f t="shared" si="75"/>
        <v>0</v>
      </c>
      <c r="K139" s="54"/>
      <c r="L139" s="115"/>
      <c r="M139" s="54">
        <f t="shared" si="76"/>
        <v>0</v>
      </c>
      <c r="N139" s="115"/>
      <c r="O139" s="54">
        <f t="shared" si="77"/>
        <v>0</v>
      </c>
      <c r="P139" s="54">
        <f t="shared" si="78"/>
        <v>0</v>
      </c>
    </row>
    <row r="140" spans="2:16">
      <c r="B140" s="7" t="str">
        <f t="shared" si="47"/>
        <v/>
      </c>
      <c r="C140" s="50">
        <f>IF(D93="","-",+C139+1)</f>
        <v>2051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3"/>
        <v>0</v>
      </c>
      <c r="G140" s="55">
        <f t="shared" si="74"/>
        <v>0</v>
      </c>
      <c r="H140" s="355">
        <f t="shared" si="71"/>
        <v>0</v>
      </c>
      <c r="I140" s="381">
        <f t="shared" si="72"/>
        <v>0</v>
      </c>
      <c r="J140" s="54">
        <f t="shared" si="75"/>
        <v>0</v>
      </c>
      <c r="K140" s="54"/>
      <c r="L140" s="115"/>
      <c r="M140" s="54">
        <f t="shared" si="76"/>
        <v>0</v>
      </c>
      <c r="N140" s="115"/>
      <c r="O140" s="54">
        <f t="shared" si="77"/>
        <v>0</v>
      </c>
      <c r="P140" s="54">
        <f t="shared" si="78"/>
        <v>0</v>
      </c>
    </row>
    <row r="141" spans="2:16">
      <c r="B141" s="7" t="str">
        <f t="shared" si="47"/>
        <v/>
      </c>
      <c r="C141" s="50">
        <f>IF(D93="","-",+C140+1)</f>
        <v>2052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3"/>
        <v>0</v>
      </c>
      <c r="G141" s="55">
        <f t="shared" si="74"/>
        <v>0</v>
      </c>
      <c r="H141" s="355">
        <f t="shared" si="71"/>
        <v>0</v>
      </c>
      <c r="I141" s="381">
        <f t="shared" si="72"/>
        <v>0</v>
      </c>
      <c r="J141" s="54">
        <f t="shared" si="75"/>
        <v>0</v>
      </c>
      <c r="K141" s="54"/>
      <c r="L141" s="115"/>
      <c r="M141" s="54">
        <f t="shared" si="76"/>
        <v>0</v>
      </c>
      <c r="N141" s="115"/>
      <c r="O141" s="54">
        <f t="shared" si="77"/>
        <v>0</v>
      </c>
      <c r="P141" s="54">
        <f t="shared" si="78"/>
        <v>0</v>
      </c>
    </row>
    <row r="142" spans="2:16">
      <c r="B142" s="7" t="str">
        <f t="shared" si="47"/>
        <v/>
      </c>
      <c r="C142" s="50">
        <f>IF(D93="","-",+C141+1)</f>
        <v>2053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3"/>
        <v>0</v>
      </c>
      <c r="G142" s="55">
        <f t="shared" si="74"/>
        <v>0</v>
      </c>
      <c r="H142" s="355">
        <f t="shared" si="71"/>
        <v>0</v>
      </c>
      <c r="I142" s="381">
        <f t="shared" si="72"/>
        <v>0</v>
      </c>
      <c r="J142" s="54">
        <f t="shared" si="75"/>
        <v>0</v>
      </c>
      <c r="K142" s="54"/>
      <c r="L142" s="115"/>
      <c r="M142" s="54">
        <f t="shared" si="76"/>
        <v>0</v>
      </c>
      <c r="N142" s="115"/>
      <c r="O142" s="54">
        <f t="shared" si="77"/>
        <v>0</v>
      </c>
      <c r="P142" s="54">
        <f t="shared" si="78"/>
        <v>0</v>
      </c>
    </row>
    <row r="143" spans="2:16">
      <c r="B143" s="7" t="str">
        <f t="shared" si="47"/>
        <v/>
      </c>
      <c r="C143" s="50">
        <f>IF(D93="","-",+C142+1)</f>
        <v>2054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3"/>
        <v>0</v>
      </c>
      <c r="G143" s="55">
        <f t="shared" si="74"/>
        <v>0</v>
      </c>
      <c r="H143" s="355">
        <f t="shared" si="71"/>
        <v>0</v>
      </c>
      <c r="I143" s="381">
        <f t="shared" si="72"/>
        <v>0</v>
      </c>
      <c r="J143" s="54">
        <f t="shared" si="75"/>
        <v>0</v>
      </c>
      <c r="K143" s="54"/>
      <c r="L143" s="115"/>
      <c r="M143" s="54">
        <f t="shared" si="76"/>
        <v>0</v>
      </c>
      <c r="N143" s="115"/>
      <c r="O143" s="54">
        <f t="shared" si="77"/>
        <v>0</v>
      </c>
      <c r="P143" s="54">
        <f t="shared" si="78"/>
        <v>0</v>
      </c>
    </row>
    <row r="144" spans="2:16">
      <c r="B144" s="7" t="str">
        <f t="shared" si="47"/>
        <v/>
      </c>
      <c r="C144" s="50">
        <f>IF(D93="","-",+C143+1)</f>
        <v>2055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3"/>
        <v>0</v>
      </c>
      <c r="G144" s="55">
        <f t="shared" si="74"/>
        <v>0</v>
      </c>
      <c r="H144" s="355">
        <f t="shared" si="71"/>
        <v>0</v>
      </c>
      <c r="I144" s="381">
        <f t="shared" si="72"/>
        <v>0</v>
      </c>
      <c r="J144" s="54">
        <f t="shared" si="75"/>
        <v>0</v>
      </c>
      <c r="K144" s="54"/>
      <c r="L144" s="115"/>
      <c r="M144" s="54">
        <f t="shared" si="76"/>
        <v>0</v>
      </c>
      <c r="N144" s="115"/>
      <c r="O144" s="54">
        <f t="shared" si="77"/>
        <v>0</v>
      </c>
      <c r="P144" s="54">
        <f t="shared" si="78"/>
        <v>0</v>
      </c>
    </row>
    <row r="145" spans="2:16">
      <c r="B145" s="7" t="str">
        <f t="shared" si="47"/>
        <v/>
      </c>
      <c r="C145" s="50">
        <f>IF(D93="","-",+C144+1)</f>
        <v>2056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3"/>
        <v>0</v>
      </c>
      <c r="G145" s="55">
        <f t="shared" si="74"/>
        <v>0</v>
      </c>
      <c r="H145" s="355">
        <f t="shared" si="71"/>
        <v>0</v>
      </c>
      <c r="I145" s="381">
        <f t="shared" si="72"/>
        <v>0</v>
      </c>
      <c r="J145" s="54">
        <f t="shared" si="75"/>
        <v>0</v>
      </c>
      <c r="K145" s="54"/>
      <c r="L145" s="115"/>
      <c r="M145" s="54">
        <f t="shared" si="76"/>
        <v>0</v>
      </c>
      <c r="N145" s="115"/>
      <c r="O145" s="54">
        <f t="shared" si="77"/>
        <v>0</v>
      </c>
      <c r="P145" s="54">
        <f t="shared" si="78"/>
        <v>0</v>
      </c>
    </row>
    <row r="146" spans="2:16">
      <c r="B146" s="7" t="str">
        <f t="shared" si="47"/>
        <v/>
      </c>
      <c r="C146" s="50">
        <f>IF(D93="","-",+C145+1)</f>
        <v>2057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ref="F146:F154" si="79">+D146-E146</f>
        <v>0</v>
      </c>
      <c r="G146" s="55">
        <f t="shared" ref="G146:G154" si="80">+(F146+D146)/2</f>
        <v>0</v>
      </c>
      <c r="H146" s="355">
        <f t="shared" si="71"/>
        <v>0</v>
      </c>
      <c r="I146" s="381">
        <f t="shared" si="72"/>
        <v>0</v>
      </c>
      <c r="J146" s="54">
        <f t="shared" si="75"/>
        <v>0</v>
      </c>
      <c r="K146" s="54"/>
      <c r="L146" s="115"/>
      <c r="M146" s="54">
        <f t="shared" si="76"/>
        <v>0</v>
      </c>
      <c r="N146" s="115"/>
      <c r="O146" s="54">
        <f t="shared" si="77"/>
        <v>0</v>
      </c>
      <c r="P146" s="54">
        <f t="shared" si="78"/>
        <v>0</v>
      </c>
    </row>
    <row r="147" spans="2:16">
      <c r="B147" s="7" t="str">
        <f t="shared" si="47"/>
        <v/>
      </c>
      <c r="C147" s="50">
        <f>IF(D93="","-",+C146+1)</f>
        <v>2058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9"/>
        <v>0</v>
      </c>
      <c r="G147" s="55">
        <f t="shared" si="80"/>
        <v>0</v>
      </c>
      <c r="H147" s="355">
        <f t="shared" si="71"/>
        <v>0</v>
      </c>
      <c r="I147" s="381">
        <f t="shared" si="72"/>
        <v>0</v>
      </c>
      <c r="J147" s="54">
        <f t="shared" si="75"/>
        <v>0</v>
      </c>
      <c r="K147" s="54"/>
      <c r="L147" s="115"/>
      <c r="M147" s="54">
        <f t="shared" si="76"/>
        <v>0</v>
      </c>
      <c r="N147" s="115"/>
      <c r="O147" s="54">
        <f t="shared" si="77"/>
        <v>0</v>
      </c>
      <c r="P147" s="54">
        <f t="shared" si="78"/>
        <v>0</v>
      </c>
    </row>
    <row r="148" spans="2:16">
      <c r="B148" s="7" t="str">
        <f t="shared" si="47"/>
        <v/>
      </c>
      <c r="C148" s="50">
        <f>IF(D93="","-",+C147+1)</f>
        <v>2059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9"/>
        <v>0</v>
      </c>
      <c r="G148" s="55">
        <f t="shared" si="80"/>
        <v>0</v>
      </c>
      <c r="H148" s="355">
        <f t="shared" si="71"/>
        <v>0</v>
      </c>
      <c r="I148" s="381">
        <f t="shared" si="72"/>
        <v>0</v>
      </c>
      <c r="J148" s="54">
        <f t="shared" si="75"/>
        <v>0</v>
      </c>
      <c r="K148" s="54"/>
      <c r="L148" s="115"/>
      <c r="M148" s="54">
        <f t="shared" si="76"/>
        <v>0</v>
      </c>
      <c r="N148" s="115"/>
      <c r="O148" s="54">
        <f t="shared" si="77"/>
        <v>0</v>
      </c>
      <c r="P148" s="54">
        <f t="shared" si="78"/>
        <v>0</v>
      </c>
    </row>
    <row r="149" spans="2:16">
      <c r="B149" s="7" t="str">
        <f t="shared" si="47"/>
        <v/>
      </c>
      <c r="C149" s="50">
        <f>IF(D93="","-",+C148+1)</f>
        <v>2060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9"/>
        <v>0</v>
      </c>
      <c r="G149" s="55">
        <f t="shared" si="80"/>
        <v>0</v>
      </c>
      <c r="H149" s="355">
        <f t="shared" si="71"/>
        <v>0</v>
      </c>
      <c r="I149" s="381">
        <f t="shared" si="72"/>
        <v>0</v>
      </c>
      <c r="J149" s="54">
        <f t="shared" si="75"/>
        <v>0</v>
      </c>
      <c r="K149" s="54"/>
      <c r="L149" s="115"/>
      <c r="M149" s="54">
        <f t="shared" si="76"/>
        <v>0</v>
      </c>
      <c r="N149" s="115"/>
      <c r="O149" s="54">
        <f t="shared" si="77"/>
        <v>0</v>
      </c>
      <c r="P149" s="54">
        <f t="shared" si="78"/>
        <v>0</v>
      </c>
    </row>
    <row r="150" spans="2:16">
      <c r="B150" s="7" t="str">
        <f t="shared" si="47"/>
        <v/>
      </c>
      <c r="C150" s="50">
        <f>IF(D93="","-",+C149+1)</f>
        <v>2061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9"/>
        <v>0</v>
      </c>
      <c r="G150" s="55">
        <f t="shared" si="80"/>
        <v>0</v>
      </c>
      <c r="H150" s="355">
        <f t="shared" si="71"/>
        <v>0</v>
      </c>
      <c r="I150" s="381">
        <f t="shared" si="72"/>
        <v>0</v>
      </c>
      <c r="J150" s="54">
        <f t="shared" si="75"/>
        <v>0</v>
      </c>
      <c r="K150" s="54"/>
      <c r="L150" s="115"/>
      <c r="M150" s="54">
        <f t="shared" si="76"/>
        <v>0</v>
      </c>
      <c r="N150" s="115"/>
      <c r="O150" s="54">
        <f t="shared" si="77"/>
        <v>0</v>
      </c>
      <c r="P150" s="54">
        <f t="shared" si="78"/>
        <v>0</v>
      </c>
    </row>
    <row r="151" spans="2:16">
      <c r="B151" s="7" t="str">
        <f t="shared" si="47"/>
        <v/>
      </c>
      <c r="C151" s="50">
        <f>IF(D93="","-",+C150+1)</f>
        <v>2062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9"/>
        <v>0</v>
      </c>
      <c r="G151" s="55">
        <f t="shared" si="80"/>
        <v>0</v>
      </c>
      <c r="H151" s="355">
        <f t="shared" si="71"/>
        <v>0</v>
      </c>
      <c r="I151" s="381">
        <f t="shared" si="72"/>
        <v>0</v>
      </c>
      <c r="J151" s="54">
        <f t="shared" si="75"/>
        <v>0</v>
      </c>
      <c r="K151" s="54"/>
      <c r="L151" s="115"/>
      <c r="M151" s="54">
        <f t="shared" si="76"/>
        <v>0</v>
      </c>
      <c r="N151" s="115"/>
      <c r="O151" s="54">
        <f t="shared" si="77"/>
        <v>0</v>
      </c>
      <c r="P151" s="54">
        <f t="shared" si="78"/>
        <v>0</v>
      </c>
    </row>
    <row r="152" spans="2:16">
      <c r="B152" s="7" t="str">
        <f t="shared" si="47"/>
        <v/>
      </c>
      <c r="C152" s="50">
        <f>IF(D93="","-",+C151+1)</f>
        <v>2063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9"/>
        <v>0</v>
      </c>
      <c r="G152" s="55">
        <f t="shared" si="80"/>
        <v>0</v>
      </c>
      <c r="H152" s="355">
        <f t="shared" si="71"/>
        <v>0</v>
      </c>
      <c r="I152" s="381">
        <f t="shared" si="72"/>
        <v>0</v>
      </c>
      <c r="J152" s="54">
        <f t="shared" si="75"/>
        <v>0</v>
      </c>
      <c r="K152" s="54"/>
      <c r="L152" s="115"/>
      <c r="M152" s="54">
        <f t="shared" si="76"/>
        <v>0</v>
      </c>
      <c r="N152" s="115"/>
      <c r="O152" s="54">
        <f t="shared" si="77"/>
        <v>0</v>
      </c>
      <c r="P152" s="54">
        <f t="shared" si="78"/>
        <v>0</v>
      </c>
    </row>
    <row r="153" spans="2:16">
      <c r="B153" s="7" t="str">
        <f t="shared" si="47"/>
        <v/>
      </c>
      <c r="C153" s="50">
        <f>IF(D93="","-",+C152+1)</f>
        <v>2064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9"/>
        <v>0</v>
      </c>
      <c r="G153" s="55">
        <f t="shared" si="80"/>
        <v>0</v>
      </c>
      <c r="H153" s="355">
        <f t="shared" si="71"/>
        <v>0</v>
      </c>
      <c r="I153" s="381">
        <f t="shared" si="72"/>
        <v>0</v>
      </c>
      <c r="J153" s="54">
        <f t="shared" si="75"/>
        <v>0</v>
      </c>
      <c r="K153" s="54"/>
      <c r="L153" s="115"/>
      <c r="M153" s="54">
        <f t="shared" si="76"/>
        <v>0</v>
      </c>
      <c r="N153" s="115"/>
      <c r="O153" s="54">
        <f t="shared" si="77"/>
        <v>0</v>
      </c>
      <c r="P153" s="54">
        <f t="shared" si="78"/>
        <v>0</v>
      </c>
    </row>
    <row r="154" spans="2:16" ht="13.5" thickBot="1">
      <c r="B154" s="7" t="str">
        <f t="shared" si="47"/>
        <v/>
      </c>
      <c r="C154" s="58">
        <f>IF(D93="","-",+C153+1)</f>
        <v>2065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9"/>
        <v>0</v>
      </c>
      <c r="G154" s="59">
        <f t="shared" si="80"/>
        <v>0</v>
      </c>
      <c r="H154" s="358">
        <f t="shared" ref="H154" si="81">+J$94*G154+E154</f>
        <v>0</v>
      </c>
      <c r="I154" s="383">
        <f t="shared" ref="I154" si="82">+J$95*G154+E154</f>
        <v>0</v>
      </c>
      <c r="J154" s="62">
        <f t="shared" si="75"/>
        <v>0</v>
      </c>
      <c r="K154" s="54"/>
      <c r="L154" s="116"/>
      <c r="M154" s="62">
        <f t="shared" si="76"/>
        <v>0</v>
      </c>
      <c r="N154" s="116"/>
      <c r="O154" s="62">
        <f t="shared" si="77"/>
        <v>0</v>
      </c>
      <c r="P154" s="62">
        <f t="shared" si="78"/>
        <v>0</v>
      </c>
    </row>
    <row r="155" spans="2:16">
      <c r="C155" s="12" t="s">
        <v>77</v>
      </c>
      <c r="D155" s="266"/>
      <c r="E155" s="266">
        <f>SUM(E99:E154)</f>
        <v>96566</v>
      </c>
      <c r="F155" s="266"/>
      <c r="G155" s="266"/>
      <c r="H155" s="266">
        <f>SUM(H99:H154)</f>
        <v>346101.1029822561</v>
      </c>
      <c r="I155" s="266">
        <f>SUM(I99:I154)</f>
        <v>346101.1029822561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5" priority="1" stopIfTrue="1" operator="equal">
      <formula>$I$10</formula>
    </cfRule>
  </conditionalFormatting>
  <conditionalFormatting sqref="C99:C154">
    <cfRule type="cellIs" dxfId="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1">
    <tabColor rgb="FF92D050"/>
  </sheetPr>
  <dimension ref="A1:P162"/>
  <sheetViews>
    <sheetView topLeftCell="A29" zoomScaleNormal="100" zoomScaleSheetLayoutView="75" workbookViewId="0">
      <selection activeCell="I86" sqref="I86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3" width="17.7109375" customWidth="1"/>
    <col min="14" max="14" width="16.7109375" customWidth="1"/>
    <col min="15" max="15" width="18.4257812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11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.5" thickBot="1">
      <c r="C4" s="396" t="s">
        <v>260</v>
      </c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144258.99</v>
      </c>
      <c r="P5" s="1"/>
    </row>
    <row r="6" spans="1:16" ht="15.75">
      <c r="C6" s="397" t="s">
        <v>261</v>
      </c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144258.99</v>
      </c>
      <c r="O6" s="1"/>
      <c r="P6" s="1"/>
    </row>
    <row r="7" spans="1:16" ht="13.5" thickBot="1">
      <c r="C7" s="26" t="s">
        <v>46</v>
      </c>
      <c r="D7" s="331" t="s">
        <v>229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5.75" thickBot="1">
      <c r="C8" s="398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228</v>
      </c>
      <c r="E9" s="74" t="s">
        <v>373</v>
      </c>
      <c r="F9" s="514">
        <v>446</v>
      </c>
      <c r="G9" s="32"/>
      <c r="H9" s="32"/>
      <c r="I9" s="33"/>
      <c r="J9" s="34"/>
      <c r="P9" s="1"/>
    </row>
    <row r="10" spans="1:16">
      <c r="C10" s="128" t="s">
        <v>226</v>
      </c>
      <c r="D10" s="335">
        <f>1493723*0.94</f>
        <v>1404099.6199999999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2011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36949.99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2011</v>
      </c>
      <c r="D17" s="348">
        <v>1624000</v>
      </c>
      <c r="E17" s="349">
        <v>15921.568627450981</v>
      </c>
      <c r="F17" s="348">
        <v>1608078.4313725489</v>
      </c>
      <c r="G17" s="349">
        <v>267655.54041850357</v>
      </c>
      <c r="H17" s="353">
        <v>267655.54041850357</v>
      </c>
      <c r="I17" s="52">
        <f>H17-G17</f>
        <v>0</v>
      </c>
      <c r="J17" s="52"/>
      <c r="K17" s="117">
        <f t="shared" ref="K17:K22" si="0">G17</f>
        <v>267655.54041850357</v>
      </c>
      <c r="L17" s="53">
        <f t="shared" ref="L17:L48" si="1">IF(K17&lt;&gt;0,+G17-K17,0)</f>
        <v>0</v>
      </c>
      <c r="M17" s="117">
        <f t="shared" ref="M17:M22" si="2">H17</f>
        <v>267655.54041850357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 t="shared" ref="B18:B49" si="5">IF(D18=F17,"","IU")</f>
        <v>IU</v>
      </c>
      <c r="C18" s="50">
        <f>IF(D11="","-",+C17+1)</f>
        <v>2012</v>
      </c>
      <c r="D18" s="351">
        <v>1420815.4313725489</v>
      </c>
      <c r="E18" s="352">
        <v>27629.557692307691</v>
      </c>
      <c r="F18" s="351">
        <v>1393185.8736802412</v>
      </c>
      <c r="G18" s="352">
        <v>221570.55769230769</v>
      </c>
      <c r="H18" s="353">
        <v>221570.55769230769</v>
      </c>
      <c r="I18" s="52">
        <f t="shared" ref="I18:I48" si="6">H18-G18</f>
        <v>0</v>
      </c>
      <c r="J18" s="52"/>
      <c r="K18" s="350">
        <f t="shared" si="0"/>
        <v>221570.55769230769</v>
      </c>
      <c r="L18" s="54">
        <f t="shared" si="1"/>
        <v>0</v>
      </c>
      <c r="M18" s="350">
        <f t="shared" si="2"/>
        <v>221570.55769230769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 t="shared" si="5"/>
        <v>IU</v>
      </c>
      <c r="C19" s="50">
        <f>IF(D11="","-",+C18+1)</f>
        <v>2013</v>
      </c>
      <c r="D19" s="351">
        <v>1450171.8736802414</v>
      </c>
      <c r="E19" s="352">
        <v>28725.442307692309</v>
      </c>
      <c r="F19" s="351">
        <v>1421446.4313725492</v>
      </c>
      <c r="G19" s="352">
        <v>231717.44230769231</v>
      </c>
      <c r="H19" s="353">
        <v>231717.44230769231</v>
      </c>
      <c r="I19" s="52">
        <v>0</v>
      </c>
      <c r="J19" s="52"/>
      <c r="K19" s="350">
        <f t="shared" si="0"/>
        <v>231717.44230769231</v>
      </c>
      <c r="L19" s="54">
        <f t="shared" ref="L19:L24" si="7">IF(K19&lt;&gt;0,+G19-K19,0)</f>
        <v>0</v>
      </c>
      <c r="M19" s="350">
        <f t="shared" si="2"/>
        <v>231717.44230769231</v>
      </c>
      <c r="N19" s="54">
        <f t="shared" ref="N19:N24" si="8">IF(M19&lt;&gt;0,+H19-M19,0)</f>
        <v>0</v>
      </c>
      <c r="O19" s="54">
        <f t="shared" ref="O19:O24" si="9">+N19-L19</f>
        <v>0</v>
      </c>
      <c r="P19" s="1"/>
    </row>
    <row r="20" spans="2:16">
      <c r="B20" s="7" t="str">
        <f t="shared" si="5"/>
        <v>IU</v>
      </c>
      <c r="C20" s="50">
        <f>IF(D11="","-",+C19+1)</f>
        <v>2014</v>
      </c>
      <c r="D20" s="351">
        <v>1331823.0513725488</v>
      </c>
      <c r="E20" s="352">
        <v>27001.915769230767</v>
      </c>
      <c r="F20" s="351">
        <v>1304821.135603318</v>
      </c>
      <c r="G20" s="352">
        <v>206621.91576923078</v>
      </c>
      <c r="H20" s="353">
        <v>206621.91576923078</v>
      </c>
      <c r="I20" s="52">
        <v>0</v>
      </c>
      <c r="J20" s="52"/>
      <c r="K20" s="350">
        <f t="shared" si="0"/>
        <v>206621.91576923078</v>
      </c>
      <c r="L20" s="54">
        <f t="shared" si="7"/>
        <v>0</v>
      </c>
      <c r="M20" s="350">
        <f t="shared" si="2"/>
        <v>206621.91576923078</v>
      </c>
      <c r="N20" s="54">
        <f t="shared" si="8"/>
        <v>0</v>
      </c>
      <c r="O20" s="54">
        <f t="shared" si="9"/>
        <v>0</v>
      </c>
      <c r="P20" s="1"/>
    </row>
    <row r="21" spans="2:16">
      <c r="B21" s="7" t="str">
        <f t="shared" si="5"/>
        <v/>
      </c>
      <c r="C21" s="50">
        <f>IF(D11="","-",+C20+1)</f>
        <v>2015</v>
      </c>
      <c r="D21" s="351">
        <v>1304821.135603318</v>
      </c>
      <c r="E21" s="352">
        <v>27001.915769230767</v>
      </c>
      <c r="F21" s="351">
        <v>1277819.2198340872</v>
      </c>
      <c r="G21" s="352">
        <v>203176.91576923078</v>
      </c>
      <c r="H21" s="353">
        <v>203176.91576923078</v>
      </c>
      <c r="I21" s="52">
        <v>0</v>
      </c>
      <c r="J21" s="52"/>
      <c r="K21" s="350">
        <f t="shared" si="0"/>
        <v>203176.91576923078</v>
      </c>
      <c r="L21" s="54">
        <f t="shared" si="7"/>
        <v>0</v>
      </c>
      <c r="M21" s="350">
        <f t="shared" si="2"/>
        <v>203176.91576923078</v>
      </c>
      <c r="N21" s="54">
        <f t="shared" si="8"/>
        <v>0</v>
      </c>
      <c r="O21" s="54">
        <f t="shared" si="9"/>
        <v>0</v>
      </c>
      <c r="P21" s="1"/>
    </row>
    <row r="22" spans="2:16">
      <c r="B22" s="7" t="str">
        <f t="shared" si="5"/>
        <v/>
      </c>
      <c r="C22" s="50">
        <f>IF(D11="","-",+C21+1)</f>
        <v>2016</v>
      </c>
      <c r="D22" s="351">
        <v>1277819.2198340872</v>
      </c>
      <c r="E22" s="352">
        <v>27001.915769230767</v>
      </c>
      <c r="F22" s="351">
        <v>1250817.3040648564</v>
      </c>
      <c r="G22" s="352">
        <v>191058.91576923078</v>
      </c>
      <c r="H22" s="353">
        <v>191058.91576923078</v>
      </c>
      <c r="I22" s="52">
        <f t="shared" si="6"/>
        <v>0</v>
      </c>
      <c r="J22" s="52"/>
      <c r="K22" s="350">
        <f t="shared" si="0"/>
        <v>191058.91576923078</v>
      </c>
      <c r="L22" s="54">
        <f t="shared" si="7"/>
        <v>0</v>
      </c>
      <c r="M22" s="350">
        <f t="shared" si="2"/>
        <v>191058.91576923078</v>
      </c>
      <c r="N22" s="54">
        <f t="shared" si="8"/>
        <v>0</v>
      </c>
      <c r="O22" s="54">
        <f t="shared" si="9"/>
        <v>0</v>
      </c>
      <c r="P22" s="1"/>
    </row>
    <row r="23" spans="2:16">
      <c r="B23" s="7" t="str">
        <f t="shared" si="5"/>
        <v/>
      </c>
      <c r="C23" s="50">
        <f>IF(D11="","-",+C22+1)</f>
        <v>2017</v>
      </c>
      <c r="D23" s="351">
        <v>1250817.3040648564</v>
      </c>
      <c r="E23" s="352">
        <v>30523.904782608693</v>
      </c>
      <c r="F23" s="351">
        <v>1220293.3992822478</v>
      </c>
      <c r="G23" s="352">
        <v>185818.9047826087</v>
      </c>
      <c r="H23" s="353">
        <v>185818.9047826087</v>
      </c>
      <c r="I23" s="52">
        <f t="shared" si="6"/>
        <v>0</v>
      </c>
      <c r="J23" s="52"/>
      <c r="K23" s="350">
        <f t="shared" ref="K23:K28" si="10">G23</f>
        <v>185818.9047826087</v>
      </c>
      <c r="L23" s="54">
        <f t="shared" si="7"/>
        <v>0</v>
      </c>
      <c r="M23" s="350">
        <f t="shared" ref="M23:M28" si="11">H23</f>
        <v>185818.9047826087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5"/>
        <v/>
      </c>
      <c r="C24" s="50">
        <f>IF(D11="","-",+C23+1)</f>
        <v>2018</v>
      </c>
      <c r="D24" s="351">
        <v>1220293.3992822478</v>
      </c>
      <c r="E24" s="352">
        <v>31202.213777777775</v>
      </c>
      <c r="F24" s="351">
        <v>1189091.18550447</v>
      </c>
      <c r="G24" s="352">
        <v>175474.88659362236</v>
      </c>
      <c r="H24" s="353">
        <v>175474.88659362236</v>
      </c>
      <c r="I24" s="52">
        <f t="shared" si="6"/>
        <v>0</v>
      </c>
      <c r="J24" s="52"/>
      <c r="K24" s="350">
        <f t="shared" si="10"/>
        <v>175474.88659362236</v>
      </c>
      <c r="L24" s="54">
        <f t="shared" si="7"/>
        <v>0</v>
      </c>
      <c r="M24" s="350">
        <f t="shared" si="11"/>
        <v>175474.88659362236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5"/>
        <v/>
      </c>
      <c r="C25" s="50">
        <f>IF(D11="","-",+C24+1)</f>
        <v>2019</v>
      </c>
      <c r="D25" s="351">
        <v>1189091.18550447</v>
      </c>
      <c r="E25" s="352">
        <v>35102.4905</v>
      </c>
      <c r="F25" s="351">
        <v>1153988.6950044699</v>
      </c>
      <c r="G25" s="352">
        <v>165912.69365934882</v>
      </c>
      <c r="H25" s="353">
        <v>165912.69365934882</v>
      </c>
      <c r="I25" s="52">
        <f t="shared" si="6"/>
        <v>0</v>
      </c>
      <c r="J25" s="52"/>
      <c r="K25" s="350">
        <f t="shared" si="10"/>
        <v>165912.69365934882</v>
      </c>
      <c r="L25" s="54">
        <f t="shared" ref="L25" si="12">IF(K25&lt;&gt;0,+G25-K25,0)</f>
        <v>0</v>
      </c>
      <c r="M25" s="350">
        <f t="shared" si="11"/>
        <v>165912.69365934882</v>
      </c>
      <c r="N25" s="54">
        <f t="shared" ref="N25" si="13">IF(M25&lt;&gt;0,+H25-M25,0)</f>
        <v>0</v>
      </c>
      <c r="O25" s="54">
        <f t="shared" ref="O25" si="14">+N25-L25</f>
        <v>0</v>
      </c>
      <c r="P25" s="1"/>
    </row>
    <row r="26" spans="2:16">
      <c r="B26" s="7" t="str">
        <f t="shared" si="5"/>
        <v>IU</v>
      </c>
      <c r="C26" s="50">
        <f>IF(D11="","-",+C25+1)</f>
        <v>2020</v>
      </c>
      <c r="D26" s="351">
        <v>1157888.9717266923</v>
      </c>
      <c r="E26" s="352">
        <v>33430.943333333329</v>
      </c>
      <c r="F26" s="351">
        <v>1124458.0283933589</v>
      </c>
      <c r="G26" s="352">
        <v>156683.13262286683</v>
      </c>
      <c r="H26" s="353">
        <v>156683.13262286683</v>
      </c>
      <c r="I26" s="52">
        <f t="shared" si="6"/>
        <v>0</v>
      </c>
      <c r="J26" s="52"/>
      <c r="K26" s="350">
        <f t="shared" si="10"/>
        <v>156683.13262286683</v>
      </c>
      <c r="L26" s="54">
        <f t="shared" ref="L26" si="15">IF(K26&lt;&gt;0,+G26-K26,0)</f>
        <v>0</v>
      </c>
      <c r="M26" s="350">
        <f t="shared" si="11"/>
        <v>156683.13262286683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>IU</v>
      </c>
      <c r="C27" s="50">
        <f>IF(D11="","-",+C26+1)</f>
        <v>2021</v>
      </c>
      <c r="D27" s="351">
        <v>1120557.7516711368</v>
      </c>
      <c r="E27" s="352">
        <v>32653.479534883718</v>
      </c>
      <c r="F27" s="351">
        <v>1087904.2721362531</v>
      </c>
      <c r="G27" s="352">
        <v>149953.47953488372</v>
      </c>
      <c r="H27" s="353">
        <v>149953.47953488372</v>
      </c>
      <c r="I27" s="52">
        <f t="shared" si="6"/>
        <v>0</v>
      </c>
      <c r="J27" s="52"/>
      <c r="K27" s="350">
        <f t="shared" si="10"/>
        <v>149953.47953488372</v>
      </c>
      <c r="L27" s="54">
        <f t="shared" ref="L27" si="16">IF(K27&lt;&gt;0,+G27-K27,0)</f>
        <v>0</v>
      </c>
      <c r="M27" s="350">
        <f t="shared" si="11"/>
        <v>149953.47953488372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/>
      </c>
      <c r="C28" s="50">
        <f>IF(D11="","-",+C27+1)</f>
        <v>2022</v>
      </c>
      <c r="D28" s="351">
        <v>1087904.2721362531</v>
      </c>
      <c r="E28" s="352">
        <v>33430.943333333329</v>
      </c>
      <c r="F28" s="351">
        <v>1054473.3288029197</v>
      </c>
      <c r="G28" s="352">
        <v>147114.94333333333</v>
      </c>
      <c r="H28" s="353">
        <v>147114.94333333333</v>
      </c>
      <c r="I28" s="52">
        <f t="shared" si="6"/>
        <v>0</v>
      </c>
      <c r="J28" s="52"/>
      <c r="K28" s="350">
        <f t="shared" si="10"/>
        <v>147114.94333333333</v>
      </c>
      <c r="L28" s="54">
        <f t="shared" ref="L28" si="17">IF(K28&lt;&gt;0,+G28-K28,0)</f>
        <v>0</v>
      </c>
      <c r="M28" s="350">
        <f t="shared" si="11"/>
        <v>147114.94333333333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/>
      </c>
      <c r="C29" s="50">
        <f>IF(D11="","-",+C28+1)</f>
        <v>2023</v>
      </c>
      <c r="D29" s="351">
        <v>1054473.3288029197</v>
      </c>
      <c r="E29" s="352">
        <v>36002.554358974354</v>
      </c>
      <c r="F29" s="351">
        <v>1018470.7744439454</v>
      </c>
      <c r="G29" s="352">
        <v>157566.55435897436</v>
      </c>
      <c r="H29" s="353">
        <v>157566.55435897436</v>
      </c>
      <c r="I29" s="52">
        <f t="shared" si="6"/>
        <v>0</v>
      </c>
      <c r="J29" s="52"/>
      <c r="K29" s="350">
        <f t="shared" ref="K29" si="18">G29</f>
        <v>157566.55435897436</v>
      </c>
      <c r="L29" s="54">
        <f t="shared" ref="L29" si="19">IF(K29&lt;&gt;0,+G29-K29,0)</f>
        <v>0</v>
      </c>
      <c r="M29" s="350">
        <f t="shared" ref="M29" si="20">H29</f>
        <v>157566.55435897436</v>
      </c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5"/>
        <v/>
      </c>
      <c r="C30" s="50">
        <f>IF(D11="","-",+C29+1)</f>
        <v>2024</v>
      </c>
      <c r="D30" s="351">
        <v>1018470.7744439454</v>
      </c>
      <c r="E30" s="352">
        <v>36949.99</v>
      </c>
      <c r="F30" s="351">
        <v>981520.78444394539</v>
      </c>
      <c r="G30" s="352">
        <v>148587.99</v>
      </c>
      <c r="H30" s="353">
        <v>148587.99</v>
      </c>
      <c r="I30" s="52">
        <f t="shared" si="6"/>
        <v>0</v>
      </c>
      <c r="J30" s="52"/>
      <c r="K30" s="350">
        <f t="shared" ref="K30" si="21">G30</f>
        <v>148587.99</v>
      </c>
      <c r="L30" s="54">
        <f t="shared" ref="L30" si="22">IF(K30&lt;&gt;0,+G30-K30,0)</f>
        <v>0</v>
      </c>
      <c r="M30" s="350">
        <f t="shared" ref="M30" si="23">H30</f>
        <v>148587.99</v>
      </c>
      <c r="N30" s="54">
        <f t="shared" ref="N30" si="24">IF(M30&lt;&gt;0,+H30-M30,0)</f>
        <v>0</v>
      </c>
      <c r="O30" s="54">
        <f t="shared" ref="O30" si="25">+N30-L30</f>
        <v>0</v>
      </c>
      <c r="P30" s="1"/>
    </row>
    <row r="31" spans="2:16">
      <c r="B31" s="7" t="str">
        <f t="shared" si="5"/>
        <v/>
      </c>
      <c r="C31" s="50">
        <f>IF(D11="","-",+C30+1)</f>
        <v>2025</v>
      </c>
      <c r="D31" s="351">
        <v>981520.78444394539</v>
      </c>
      <c r="E31" s="352">
        <v>36949.99</v>
      </c>
      <c r="F31" s="351">
        <v>944570.7944439454</v>
      </c>
      <c r="G31" s="352">
        <v>144258.99</v>
      </c>
      <c r="H31" s="353">
        <v>144258.99</v>
      </c>
      <c r="I31" s="52">
        <f t="shared" si="6"/>
        <v>0</v>
      </c>
      <c r="J31" s="52"/>
      <c r="K31" s="350">
        <f t="shared" ref="K31" si="26">G31</f>
        <v>144258.99</v>
      </c>
      <c r="L31" s="54">
        <f t="shared" ref="L31" si="27">IF(K31&lt;&gt;0,+G31-K31,0)</f>
        <v>0</v>
      </c>
      <c r="M31" s="350">
        <f t="shared" ref="M31" si="28">H31</f>
        <v>144258.99</v>
      </c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5"/>
        <v/>
      </c>
      <c r="C32" s="50">
        <f>IF(D11="","-",+C31+1)</f>
        <v>2026</v>
      </c>
      <c r="D32" s="55">
        <f>IF(F31+SUM(E$17:E31)=D$10,F31,D$10-SUM(E$17:E31))</f>
        <v>944570.7944439454</v>
      </c>
      <c r="E32" s="354">
        <f>IF(+I14&lt;F31,I14,D32)</f>
        <v>36949.99</v>
      </c>
      <c r="F32" s="55">
        <f t="shared" ref="F32:F49" si="29">+D32-E32</f>
        <v>907620.80444394541</v>
      </c>
      <c r="G32" s="355">
        <f t="shared" ref="G32:G72" si="30">(D32+F32)/2*I$12+E32</f>
        <v>142160.48705750515</v>
      </c>
      <c r="H32" s="336">
        <f t="shared" ref="H32:H72" si="31">+(D32+F32)/2*I$13+E32</f>
        <v>142160.48705750515</v>
      </c>
      <c r="I32" s="52">
        <f t="shared" si="6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5"/>
        <v/>
      </c>
      <c r="C33" s="50">
        <f>IF(D11="","-",+C32+1)</f>
        <v>2027</v>
      </c>
      <c r="D33" s="55">
        <f>IF(F32+SUM(E$17:E32)=D$10,F32,D$10-SUM(E$17:E32))</f>
        <v>907620.80444394541</v>
      </c>
      <c r="E33" s="354">
        <f>IF(+I14&lt;F32,I14,D33)</f>
        <v>36949.99</v>
      </c>
      <c r="F33" s="55">
        <f t="shared" si="29"/>
        <v>870670.81444394542</v>
      </c>
      <c r="G33" s="355">
        <f t="shared" si="30"/>
        <v>137962.72823330571</v>
      </c>
      <c r="H33" s="336">
        <f t="shared" si="31"/>
        <v>137962.72823330571</v>
      </c>
      <c r="I33" s="52">
        <f t="shared" si="6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2028</v>
      </c>
      <c r="D34" s="55">
        <f>IF(F33+SUM(E$17:E33)=D$10,F33,D$10-SUM(E$17:E33))</f>
        <v>870670.81444394542</v>
      </c>
      <c r="E34" s="354">
        <f>IF(+I14&lt;F33,I14,D34)</f>
        <v>36949.99</v>
      </c>
      <c r="F34" s="55">
        <f t="shared" si="29"/>
        <v>833720.82444394543</v>
      </c>
      <c r="G34" s="355">
        <f t="shared" si="30"/>
        <v>133764.9694091063</v>
      </c>
      <c r="H34" s="336">
        <f t="shared" si="31"/>
        <v>133764.9694091063</v>
      </c>
      <c r="I34" s="52">
        <f t="shared" si="6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2029</v>
      </c>
      <c r="D35" s="55">
        <f>IF(F34+SUM(E$17:E34)=D$10,F34,D$10-SUM(E$17:E34))</f>
        <v>833720.82444394543</v>
      </c>
      <c r="E35" s="354">
        <f>IF(+I14&lt;F34,I14,D35)</f>
        <v>36949.99</v>
      </c>
      <c r="F35" s="55">
        <f t="shared" si="29"/>
        <v>796770.83444394544</v>
      </c>
      <c r="G35" s="355">
        <f t="shared" si="30"/>
        <v>129567.21058490686</v>
      </c>
      <c r="H35" s="336">
        <f t="shared" si="31"/>
        <v>129567.21058490686</v>
      </c>
      <c r="I35" s="52">
        <f t="shared" si="6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2030</v>
      </c>
      <c r="D36" s="55">
        <f>IF(F35+SUM(E$17:E35)=D$10,F35,D$10-SUM(E$17:E35))</f>
        <v>796770.83444394544</v>
      </c>
      <c r="E36" s="354">
        <f>IF(+I14&lt;F35,I14,D36)</f>
        <v>36949.99</v>
      </c>
      <c r="F36" s="55">
        <f t="shared" si="29"/>
        <v>759820.84444394545</v>
      </c>
      <c r="G36" s="355">
        <f t="shared" si="30"/>
        <v>125369.45176070745</v>
      </c>
      <c r="H36" s="336">
        <f t="shared" si="31"/>
        <v>125369.45176070745</v>
      </c>
      <c r="I36" s="52">
        <f t="shared" si="6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2031</v>
      </c>
      <c r="D37" s="55">
        <f>IF(F36+SUM(E$17:E36)=D$10,F36,D$10-SUM(E$17:E36))</f>
        <v>759820.84444394545</v>
      </c>
      <c r="E37" s="354">
        <f>IF(+I14&lt;F36,I14,D37)</f>
        <v>36949.99</v>
      </c>
      <c r="F37" s="55">
        <f t="shared" si="29"/>
        <v>722870.85444394546</v>
      </c>
      <c r="G37" s="355">
        <f t="shared" si="30"/>
        <v>121171.69293650801</v>
      </c>
      <c r="H37" s="336">
        <f t="shared" si="31"/>
        <v>121171.69293650801</v>
      </c>
      <c r="I37" s="52">
        <f t="shared" si="6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2032</v>
      </c>
      <c r="D38" s="55">
        <f>IF(F37+SUM(E$17:E37)=D$10,F37,D$10-SUM(E$17:E37))</f>
        <v>722870.85444394546</v>
      </c>
      <c r="E38" s="354">
        <f>IF(+I14&lt;F37,I14,D38)</f>
        <v>36949.99</v>
      </c>
      <c r="F38" s="55">
        <f t="shared" si="29"/>
        <v>685920.86444394547</v>
      </c>
      <c r="G38" s="355">
        <f t="shared" si="30"/>
        <v>116973.93411230858</v>
      </c>
      <c r="H38" s="336">
        <f t="shared" si="31"/>
        <v>116973.93411230858</v>
      </c>
      <c r="I38" s="52">
        <f t="shared" si="6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2033</v>
      </c>
      <c r="D39" s="55">
        <f>IF(F38+SUM(E$17:E38)=D$10,F38,D$10-SUM(E$17:E38))</f>
        <v>685920.86444394547</v>
      </c>
      <c r="E39" s="354">
        <f>IF(+I14&lt;F38,I14,D39)</f>
        <v>36949.99</v>
      </c>
      <c r="F39" s="55">
        <f t="shared" si="29"/>
        <v>648970.87444394547</v>
      </c>
      <c r="G39" s="355">
        <f t="shared" si="30"/>
        <v>112776.17528810917</v>
      </c>
      <c r="H39" s="336">
        <f t="shared" si="31"/>
        <v>112776.17528810917</v>
      </c>
      <c r="I39" s="52">
        <f t="shared" si="6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2034</v>
      </c>
      <c r="D40" s="55">
        <f>IF(F39+SUM(E$17:E39)=D$10,F39,D$10-SUM(E$17:E39))</f>
        <v>648970.87444394547</v>
      </c>
      <c r="E40" s="354">
        <f>IF(+I14&lt;F39,I14,D40)</f>
        <v>36949.99</v>
      </c>
      <c r="F40" s="55">
        <f t="shared" si="29"/>
        <v>612020.88444394548</v>
      </c>
      <c r="G40" s="355">
        <f t="shared" si="30"/>
        <v>108578.41646390973</v>
      </c>
      <c r="H40" s="336">
        <f t="shared" si="31"/>
        <v>108578.41646390973</v>
      </c>
      <c r="I40" s="52">
        <f t="shared" si="6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2035</v>
      </c>
      <c r="D41" s="55">
        <f>IF(F40+SUM(E$17:E40)=D$10,F40,D$10-SUM(E$17:E40))</f>
        <v>612020.88444394548</v>
      </c>
      <c r="E41" s="354">
        <f>IF(+I14&lt;F40,I14,D41)</f>
        <v>36949.99</v>
      </c>
      <c r="F41" s="55">
        <f t="shared" si="29"/>
        <v>575070.89444394549</v>
      </c>
      <c r="G41" s="355">
        <f t="shared" si="30"/>
        <v>104380.65763971032</v>
      </c>
      <c r="H41" s="336">
        <f t="shared" si="31"/>
        <v>104380.65763971032</v>
      </c>
      <c r="I41" s="52">
        <f t="shared" si="6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2036</v>
      </c>
      <c r="D42" s="55">
        <f>IF(F41+SUM(E$17:E41)=D$10,F41,D$10-SUM(E$17:E41))</f>
        <v>575070.89444394549</v>
      </c>
      <c r="E42" s="354">
        <f>IF(+I14&lt;F41,I14,D42)</f>
        <v>36949.99</v>
      </c>
      <c r="F42" s="55">
        <f t="shared" si="29"/>
        <v>538120.9044439455</v>
      </c>
      <c r="G42" s="355">
        <f t="shared" si="30"/>
        <v>100182.89881551088</v>
      </c>
      <c r="H42" s="336">
        <f t="shared" si="31"/>
        <v>100182.89881551088</v>
      </c>
      <c r="I42" s="52">
        <f t="shared" si="6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2037</v>
      </c>
      <c r="D43" s="55">
        <f>IF(F42+SUM(E$17:E42)=D$10,F42,D$10-SUM(E$17:E42))</f>
        <v>538120.9044439455</v>
      </c>
      <c r="E43" s="354">
        <f>IF(+I14&lt;F42,I14,D43)</f>
        <v>36949.99</v>
      </c>
      <c r="F43" s="55">
        <f t="shared" si="29"/>
        <v>501170.91444394551</v>
      </c>
      <c r="G43" s="355">
        <f t="shared" si="30"/>
        <v>95985.139991311458</v>
      </c>
      <c r="H43" s="336">
        <f t="shared" si="31"/>
        <v>95985.139991311458</v>
      </c>
      <c r="I43" s="52">
        <f t="shared" si="6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2038</v>
      </c>
      <c r="D44" s="55">
        <f>IF(F43+SUM(E$17:E43)=D$10,F43,D$10-SUM(E$17:E43))</f>
        <v>501170.91444394551</v>
      </c>
      <c r="E44" s="354">
        <f>IF(+I14&lt;F43,I14,D44)</f>
        <v>36949.99</v>
      </c>
      <c r="F44" s="55">
        <f t="shared" si="29"/>
        <v>464220.92444394552</v>
      </c>
      <c r="G44" s="355">
        <f t="shared" si="30"/>
        <v>91787.381167112035</v>
      </c>
      <c r="H44" s="336">
        <f t="shared" si="31"/>
        <v>91787.381167112035</v>
      </c>
      <c r="I44" s="52">
        <f t="shared" si="6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2039</v>
      </c>
      <c r="D45" s="55">
        <f>IF(F44+SUM(E$17:E44)=D$10,F44,D$10-SUM(E$17:E44))</f>
        <v>464220.92444394552</v>
      </c>
      <c r="E45" s="354">
        <f>IF(+I14&lt;F44,I14,D45)</f>
        <v>36949.99</v>
      </c>
      <c r="F45" s="55">
        <f t="shared" si="29"/>
        <v>427270.93444394553</v>
      </c>
      <c r="G45" s="355">
        <f t="shared" si="30"/>
        <v>87589.622342912597</v>
      </c>
      <c r="H45" s="336">
        <f t="shared" si="31"/>
        <v>87589.622342912597</v>
      </c>
      <c r="I45" s="52">
        <f t="shared" si="6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2040</v>
      </c>
      <c r="D46" s="55">
        <f>IF(F45+SUM(E$17:E45)=D$10,F45,D$10-SUM(E$17:E45))</f>
        <v>427270.93444394553</v>
      </c>
      <c r="E46" s="354">
        <f>IF(+I14&lt;F45,I14,D46)</f>
        <v>36949.99</v>
      </c>
      <c r="F46" s="55">
        <f t="shared" si="29"/>
        <v>390320.94444394554</v>
      </c>
      <c r="G46" s="355">
        <f t="shared" si="30"/>
        <v>83391.863518713188</v>
      </c>
      <c r="H46" s="336">
        <f t="shared" si="31"/>
        <v>83391.863518713188</v>
      </c>
      <c r="I46" s="52">
        <f t="shared" si="6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2041</v>
      </c>
      <c r="D47" s="55">
        <f>IF(F46+SUM(E$17:E46)=D$10,F46,D$10-SUM(E$17:E46))</f>
        <v>390320.94444394554</v>
      </c>
      <c r="E47" s="354">
        <f>IF(+I14&lt;F46,I14,D47)</f>
        <v>36949.99</v>
      </c>
      <c r="F47" s="55">
        <f t="shared" si="29"/>
        <v>353370.95444394555</v>
      </c>
      <c r="G47" s="355">
        <f t="shared" si="30"/>
        <v>79194.10469451375</v>
      </c>
      <c r="H47" s="336">
        <f t="shared" si="31"/>
        <v>79194.10469451375</v>
      </c>
      <c r="I47" s="52">
        <f t="shared" si="6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2042</v>
      </c>
      <c r="D48" s="55">
        <f>IF(F47+SUM(E$17:E47)=D$10,F47,D$10-SUM(E$17:E47))</f>
        <v>353370.95444394555</v>
      </c>
      <c r="E48" s="354">
        <f>IF(+I14&lt;F47,I14,D48)</f>
        <v>36949.99</v>
      </c>
      <c r="F48" s="55">
        <f t="shared" si="29"/>
        <v>316420.96444394556</v>
      </c>
      <c r="G48" s="355">
        <f t="shared" si="30"/>
        <v>74996.345870314326</v>
      </c>
      <c r="H48" s="336">
        <f t="shared" si="31"/>
        <v>74996.345870314326</v>
      </c>
      <c r="I48" s="52">
        <f t="shared" si="6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>
      <c r="B49" s="7" t="str">
        <f t="shared" si="5"/>
        <v/>
      </c>
      <c r="C49" s="50">
        <f>IF(D11="","-",+C48+1)</f>
        <v>2043</v>
      </c>
      <c r="D49" s="55">
        <f>IF(F48+SUM(E$17:E48)=D$10,F48,D$10-SUM(E$17:E48))</f>
        <v>316420.96444394556</v>
      </c>
      <c r="E49" s="354">
        <f>IF(+I14&lt;F48,I14,D49)</f>
        <v>36949.99</v>
      </c>
      <c r="F49" s="55">
        <f t="shared" si="29"/>
        <v>279470.97444394557</v>
      </c>
      <c r="G49" s="355">
        <f t="shared" si="30"/>
        <v>70798.587046114902</v>
      </c>
      <c r="H49" s="336">
        <f t="shared" si="31"/>
        <v>70798.587046114902</v>
      </c>
      <c r="I49" s="52">
        <f t="shared" ref="I49:I72" si="32">H49-G49</f>
        <v>0</v>
      </c>
      <c r="J49" s="52"/>
      <c r="K49" s="115"/>
      <c r="L49" s="54">
        <f t="shared" ref="L49:L72" si="33">IF(K49&lt;&gt;0,+G49-K49,0)</f>
        <v>0</v>
      </c>
      <c r="M49" s="115"/>
      <c r="N49" s="54">
        <f t="shared" ref="N49:N72" si="34">IF(M49&lt;&gt;0,+H49-M49,0)</f>
        <v>0</v>
      </c>
      <c r="O49" s="54">
        <f t="shared" ref="O49:O72" si="35">+N49-L49</f>
        <v>0</v>
      </c>
      <c r="P49" s="1"/>
    </row>
    <row r="50" spans="2:16">
      <c r="B50" s="7" t="str">
        <f t="shared" ref="B50:B72" si="36">IF(D50=F49,"","IU")</f>
        <v/>
      </c>
      <c r="C50" s="50">
        <f>IF(D11="","-",+C49+1)</f>
        <v>2044</v>
      </c>
      <c r="D50" s="55">
        <f>IF(F49+SUM(E$17:E49)=D$10,F49,D$10-SUM(E$17:E49))</f>
        <v>279470.97444394557</v>
      </c>
      <c r="E50" s="354">
        <f>IF(+I14&lt;F49,I14,D50)</f>
        <v>36949.99</v>
      </c>
      <c r="F50" s="55">
        <f t="shared" ref="F50:F72" si="37">+D50-E50</f>
        <v>242520.98444394558</v>
      </c>
      <c r="G50" s="355">
        <f t="shared" si="30"/>
        <v>66600.828221915479</v>
      </c>
      <c r="H50" s="336">
        <f t="shared" si="31"/>
        <v>66600.828221915479</v>
      </c>
      <c r="I50" s="52">
        <f t="shared" si="32"/>
        <v>0</v>
      </c>
      <c r="J50" s="52"/>
      <c r="K50" s="115"/>
      <c r="L50" s="54">
        <f t="shared" si="33"/>
        <v>0</v>
      </c>
      <c r="M50" s="115"/>
      <c r="N50" s="54">
        <f t="shared" si="34"/>
        <v>0</v>
      </c>
      <c r="O50" s="54">
        <f t="shared" si="35"/>
        <v>0</v>
      </c>
      <c r="P50" s="1"/>
    </row>
    <row r="51" spans="2:16">
      <c r="B51" s="7" t="str">
        <f t="shared" si="36"/>
        <v/>
      </c>
      <c r="C51" s="50">
        <f>IF(D11="","-",+C50+1)</f>
        <v>2045</v>
      </c>
      <c r="D51" s="55">
        <f>IF(F50+SUM(E$17:E50)=D$10,F50,D$10-SUM(E$17:E50))</f>
        <v>242520.98444394558</v>
      </c>
      <c r="E51" s="354">
        <f>IF(+I14&lt;F50,I14,D51)</f>
        <v>36949.99</v>
      </c>
      <c r="F51" s="55">
        <f t="shared" si="37"/>
        <v>205570.99444394559</v>
      </c>
      <c r="G51" s="355">
        <f t="shared" si="30"/>
        <v>62403.069397716055</v>
      </c>
      <c r="H51" s="336">
        <f t="shared" si="31"/>
        <v>62403.069397716055</v>
      </c>
      <c r="I51" s="52">
        <f t="shared" si="32"/>
        <v>0</v>
      </c>
      <c r="J51" s="52"/>
      <c r="K51" s="115"/>
      <c r="L51" s="54">
        <f t="shared" si="33"/>
        <v>0</v>
      </c>
      <c r="M51" s="115"/>
      <c r="N51" s="54">
        <f t="shared" si="34"/>
        <v>0</v>
      </c>
      <c r="O51" s="54">
        <f t="shared" si="35"/>
        <v>0</v>
      </c>
      <c r="P51" s="1"/>
    </row>
    <row r="52" spans="2:16">
      <c r="B52" s="7" t="str">
        <f t="shared" si="36"/>
        <v/>
      </c>
      <c r="C52" s="50">
        <f>IF(D11="","-",+C51+1)</f>
        <v>2046</v>
      </c>
      <c r="D52" s="55">
        <f>IF(F51+SUM(E$17:E51)=D$10,F51,D$10-SUM(E$17:E51))</f>
        <v>205570.99444394559</v>
      </c>
      <c r="E52" s="354">
        <f>IF(+I14&lt;F51,I14,D52)</f>
        <v>36949.99</v>
      </c>
      <c r="F52" s="55">
        <f t="shared" si="37"/>
        <v>168621.0044439456</v>
      </c>
      <c r="G52" s="355">
        <f t="shared" si="30"/>
        <v>58205.310573516625</v>
      </c>
      <c r="H52" s="336">
        <f t="shared" si="31"/>
        <v>58205.310573516625</v>
      </c>
      <c r="I52" s="52">
        <f t="shared" si="32"/>
        <v>0</v>
      </c>
      <c r="J52" s="52"/>
      <c r="K52" s="115"/>
      <c r="L52" s="54">
        <f t="shared" si="33"/>
        <v>0</v>
      </c>
      <c r="M52" s="115"/>
      <c r="N52" s="54">
        <f t="shared" si="34"/>
        <v>0</v>
      </c>
      <c r="O52" s="54">
        <f t="shared" si="35"/>
        <v>0</v>
      </c>
      <c r="P52" s="1"/>
    </row>
    <row r="53" spans="2:16">
      <c r="B53" s="7" t="str">
        <f t="shared" si="36"/>
        <v/>
      </c>
      <c r="C53" s="50">
        <f>IF(D11="","-",+C52+1)</f>
        <v>2047</v>
      </c>
      <c r="D53" s="55">
        <f>IF(F52+SUM(E$17:E52)=D$10,F52,D$10-SUM(E$17:E52))</f>
        <v>168621.0044439456</v>
      </c>
      <c r="E53" s="354">
        <f>IF(+I14&lt;F52,I14,D53)</f>
        <v>36949.99</v>
      </c>
      <c r="F53" s="55">
        <f t="shared" si="37"/>
        <v>131671.01444394561</v>
      </c>
      <c r="G53" s="355">
        <f t="shared" si="30"/>
        <v>54007.551749317201</v>
      </c>
      <c r="H53" s="336">
        <f t="shared" si="31"/>
        <v>54007.551749317201</v>
      </c>
      <c r="I53" s="52">
        <f t="shared" si="32"/>
        <v>0</v>
      </c>
      <c r="J53" s="52"/>
      <c r="K53" s="115"/>
      <c r="L53" s="54">
        <f t="shared" si="33"/>
        <v>0</v>
      </c>
      <c r="M53" s="115"/>
      <c r="N53" s="54">
        <f t="shared" si="34"/>
        <v>0</v>
      </c>
      <c r="O53" s="54">
        <f t="shared" si="35"/>
        <v>0</v>
      </c>
      <c r="P53" s="1"/>
    </row>
    <row r="54" spans="2:16">
      <c r="B54" s="7" t="str">
        <f t="shared" si="36"/>
        <v/>
      </c>
      <c r="C54" s="50">
        <f>IF(D11="","-",+C53+1)</f>
        <v>2048</v>
      </c>
      <c r="D54" s="55">
        <f>IF(F53+SUM(E$17:E53)=D$10,F53,D$10-SUM(E$17:E53))</f>
        <v>131671.01444394561</v>
      </c>
      <c r="E54" s="354">
        <f>IF(+I14&lt;F53,I14,D54)</f>
        <v>36949.99</v>
      </c>
      <c r="F54" s="55">
        <f t="shared" si="37"/>
        <v>94721.024443945615</v>
      </c>
      <c r="G54" s="355">
        <f t="shared" si="30"/>
        <v>49809.79292511777</v>
      </c>
      <c r="H54" s="336">
        <f t="shared" si="31"/>
        <v>49809.79292511777</v>
      </c>
      <c r="I54" s="52">
        <f t="shared" si="32"/>
        <v>0</v>
      </c>
      <c r="J54" s="52"/>
      <c r="K54" s="115"/>
      <c r="L54" s="54">
        <f t="shared" si="33"/>
        <v>0</v>
      </c>
      <c r="M54" s="115"/>
      <c r="N54" s="54">
        <f t="shared" si="34"/>
        <v>0</v>
      </c>
      <c r="O54" s="54">
        <f t="shared" si="35"/>
        <v>0</v>
      </c>
      <c r="P54" s="1"/>
    </row>
    <row r="55" spans="2:16">
      <c r="B55" s="7" t="str">
        <f t="shared" si="36"/>
        <v/>
      </c>
      <c r="C55" s="50">
        <f>IF(D11="","-",+C54+1)</f>
        <v>2049</v>
      </c>
      <c r="D55" s="55">
        <f>IF(F54+SUM(E$17:E54)=D$10,F54,D$10-SUM(E$17:E54))</f>
        <v>94721.024443945615</v>
      </c>
      <c r="E55" s="354">
        <f>IF(+I14&lt;F54,I14,D55)</f>
        <v>36949.99</v>
      </c>
      <c r="F55" s="55">
        <f t="shared" si="37"/>
        <v>57771.034443945617</v>
      </c>
      <c r="G55" s="355">
        <f t="shared" si="30"/>
        <v>45612.034100918347</v>
      </c>
      <c r="H55" s="336">
        <f t="shared" si="31"/>
        <v>45612.034100918347</v>
      </c>
      <c r="I55" s="52">
        <f t="shared" si="32"/>
        <v>0</v>
      </c>
      <c r="J55" s="52"/>
      <c r="K55" s="115"/>
      <c r="L55" s="54">
        <f t="shared" si="33"/>
        <v>0</v>
      </c>
      <c r="M55" s="115"/>
      <c r="N55" s="54">
        <f t="shared" si="34"/>
        <v>0</v>
      </c>
      <c r="O55" s="54">
        <f t="shared" si="35"/>
        <v>0</v>
      </c>
      <c r="P55" s="1"/>
    </row>
    <row r="56" spans="2:16">
      <c r="B56" s="7" t="str">
        <f t="shared" si="36"/>
        <v/>
      </c>
      <c r="C56" s="50">
        <f>IF(D11="","-",+C55+1)</f>
        <v>2050</v>
      </c>
      <c r="D56" s="55">
        <f>IF(F55+SUM(E$17:E55)=D$10,F55,D$10-SUM(E$17:E55))</f>
        <v>57771.034443945617</v>
      </c>
      <c r="E56" s="354">
        <f>IF(+I14&lt;F55,I14,D56)</f>
        <v>36949.99</v>
      </c>
      <c r="F56" s="55">
        <f t="shared" si="37"/>
        <v>20821.044443945619</v>
      </c>
      <c r="G56" s="355">
        <f t="shared" si="30"/>
        <v>41414.275276718923</v>
      </c>
      <c r="H56" s="336">
        <f t="shared" si="31"/>
        <v>41414.275276718923</v>
      </c>
      <c r="I56" s="52">
        <f t="shared" si="32"/>
        <v>0</v>
      </c>
      <c r="J56" s="52"/>
      <c r="K56" s="115"/>
      <c r="L56" s="54">
        <f t="shared" si="33"/>
        <v>0</v>
      </c>
      <c r="M56" s="115"/>
      <c r="N56" s="54">
        <f t="shared" si="34"/>
        <v>0</v>
      </c>
      <c r="O56" s="54">
        <f t="shared" si="35"/>
        <v>0</v>
      </c>
      <c r="P56" s="1"/>
    </row>
    <row r="57" spans="2:16">
      <c r="B57" s="7" t="str">
        <f t="shared" si="36"/>
        <v/>
      </c>
      <c r="C57" s="50">
        <f>IF(D11="","-",+C56+1)</f>
        <v>2051</v>
      </c>
      <c r="D57" s="55">
        <f>IF(F56+SUM(E$17:E56)=D$10,F56,D$10-SUM(E$17:E56))</f>
        <v>20821.044443945619</v>
      </c>
      <c r="E57" s="354">
        <f>IF(+I14&lt;F56,I14,D57)</f>
        <v>20821.044443945619</v>
      </c>
      <c r="F57" s="55">
        <f t="shared" si="37"/>
        <v>0</v>
      </c>
      <c r="G57" s="355">
        <f t="shared" si="30"/>
        <v>22003.747376255225</v>
      </c>
      <c r="H57" s="336">
        <f t="shared" si="31"/>
        <v>22003.747376255225</v>
      </c>
      <c r="I57" s="52">
        <f t="shared" si="32"/>
        <v>0</v>
      </c>
      <c r="J57" s="52"/>
      <c r="K57" s="115"/>
      <c r="L57" s="54">
        <f t="shared" si="33"/>
        <v>0</v>
      </c>
      <c r="M57" s="115"/>
      <c r="N57" s="54">
        <f t="shared" si="34"/>
        <v>0</v>
      </c>
      <c r="O57" s="54">
        <f t="shared" si="35"/>
        <v>0</v>
      </c>
      <c r="P57" s="1"/>
    </row>
    <row r="58" spans="2:16">
      <c r="B58" s="7" t="str">
        <f t="shared" si="36"/>
        <v/>
      </c>
      <c r="C58" s="50">
        <f>IF(D11="","-",+C57+1)</f>
        <v>2052</v>
      </c>
      <c r="D58" s="55">
        <f>IF(F57+SUM(E$17:E57)=D$10,F57,D$10-SUM(E$17:E57))</f>
        <v>0</v>
      </c>
      <c r="E58" s="354">
        <f>IF(+I14&lt;F57,I14,D58)</f>
        <v>0</v>
      </c>
      <c r="F58" s="55">
        <f t="shared" si="37"/>
        <v>0</v>
      </c>
      <c r="G58" s="355">
        <f t="shared" si="30"/>
        <v>0</v>
      </c>
      <c r="H58" s="336">
        <f t="shared" si="31"/>
        <v>0</v>
      </c>
      <c r="I58" s="52">
        <f t="shared" si="32"/>
        <v>0</v>
      </c>
      <c r="J58" s="52"/>
      <c r="K58" s="115"/>
      <c r="L58" s="54">
        <f t="shared" si="33"/>
        <v>0</v>
      </c>
      <c r="M58" s="115"/>
      <c r="N58" s="54">
        <f t="shared" si="34"/>
        <v>0</v>
      </c>
      <c r="O58" s="54">
        <f t="shared" si="35"/>
        <v>0</v>
      </c>
      <c r="P58" s="1"/>
    </row>
    <row r="59" spans="2:16">
      <c r="B59" s="7" t="str">
        <f t="shared" si="36"/>
        <v/>
      </c>
      <c r="C59" s="50">
        <f>IF(D11="","-",+C58+1)</f>
        <v>2053</v>
      </c>
      <c r="D59" s="55">
        <f>IF(F58+SUM(E$17:E58)=D$10,F58,D$10-SUM(E$17:E58))</f>
        <v>0</v>
      </c>
      <c r="E59" s="354">
        <f>IF(+I14&lt;F58,I14,D59)</f>
        <v>0</v>
      </c>
      <c r="F59" s="55">
        <f t="shared" si="37"/>
        <v>0</v>
      </c>
      <c r="G59" s="355">
        <f t="shared" si="30"/>
        <v>0</v>
      </c>
      <c r="H59" s="336">
        <f t="shared" si="31"/>
        <v>0</v>
      </c>
      <c r="I59" s="52">
        <f t="shared" si="32"/>
        <v>0</v>
      </c>
      <c r="J59" s="52"/>
      <c r="K59" s="115"/>
      <c r="L59" s="54">
        <f t="shared" si="33"/>
        <v>0</v>
      </c>
      <c r="M59" s="115"/>
      <c r="N59" s="54">
        <f t="shared" si="34"/>
        <v>0</v>
      </c>
      <c r="O59" s="54">
        <f t="shared" si="35"/>
        <v>0</v>
      </c>
      <c r="P59" s="1"/>
    </row>
    <row r="60" spans="2:16">
      <c r="B60" s="7" t="str">
        <f t="shared" si="36"/>
        <v/>
      </c>
      <c r="C60" s="50">
        <f>IF(D11="","-",+C59+1)</f>
        <v>2054</v>
      </c>
      <c r="D60" s="55">
        <f>IF(F59+SUM(E$17:E59)=D$10,F59,D$10-SUM(E$17:E59))</f>
        <v>0</v>
      </c>
      <c r="E60" s="354">
        <f>IF(+I14&lt;F59,I14,D60)</f>
        <v>0</v>
      </c>
      <c r="F60" s="55">
        <f t="shared" si="37"/>
        <v>0</v>
      </c>
      <c r="G60" s="355">
        <f t="shared" si="30"/>
        <v>0</v>
      </c>
      <c r="H60" s="336">
        <f t="shared" si="31"/>
        <v>0</v>
      </c>
      <c r="I60" s="52">
        <f t="shared" si="32"/>
        <v>0</v>
      </c>
      <c r="J60" s="52"/>
      <c r="K60" s="115"/>
      <c r="L60" s="54">
        <f t="shared" si="33"/>
        <v>0</v>
      </c>
      <c r="M60" s="115"/>
      <c r="N60" s="54">
        <f t="shared" si="34"/>
        <v>0</v>
      </c>
      <c r="O60" s="54">
        <f t="shared" si="35"/>
        <v>0</v>
      </c>
      <c r="P60" s="1"/>
    </row>
    <row r="61" spans="2:16">
      <c r="B61" s="7" t="str">
        <f t="shared" si="36"/>
        <v/>
      </c>
      <c r="C61" s="50">
        <f>IF(D11="","-",+C60+1)</f>
        <v>2055</v>
      </c>
      <c r="D61" s="55">
        <f>IF(F60+SUM(E$17:E60)=D$10,F60,D$10-SUM(E$17:E60))</f>
        <v>0</v>
      </c>
      <c r="E61" s="354">
        <f>IF(+I14&lt;F60,I14,D61)</f>
        <v>0</v>
      </c>
      <c r="F61" s="55">
        <f t="shared" si="37"/>
        <v>0</v>
      </c>
      <c r="G61" s="355">
        <f t="shared" si="30"/>
        <v>0</v>
      </c>
      <c r="H61" s="336">
        <f t="shared" si="31"/>
        <v>0</v>
      </c>
      <c r="I61" s="52">
        <f t="shared" si="32"/>
        <v>0</v>
      </c>
      <c r="J61" s="52"/>
      <c r="K61" s="115"/>
      <c r="L61" s="54">
        <f t="shared" si="33"/>
        <v>0</v>
      </c>
      <c r="M61" s="115"/>
      <c r="N61" s="54">
        <f t="shared" si="34"/>
        <v>0</v>
      </c>
      <c r="O61" s="54">
        <f t="shared" si="35"/>
        <v>0</v>
      </c>
      <c r="P61" s="1"/>
    </row>
    <row r="62" spans="2:16">
      <c r="B62" s="7" t="str">
        <f t="shared" si="36"/>
        <v/>
      </c>
      <c r="C62" s="50">
        <f>IF(D11="","-",+C61+1)</f>
        <v>2056</v>
      </c>
      <c r="D62" s="55">
        <f>IF(F61+SUM(E$17:E61)=D$10,F61,D$10-SUM(E$17:E61))</f>
        <v>0</v>
      </c>
      <c r="E62" s="354">
        <f>IF(+I14&lt;F61,I14,D62)</f>
        <v>0</v>
      </c>
      <c r="F62" s="55">
        <f t="shared" si="37"/>
        <v>0</v>
      </c>
      <c r="G62" s="355">
        <f t="shared" si="30"/>
        <v>0</v>
      </c>
      <c r="H62" s="336">
        <f t="shared" si="31"/>
        <v>0</v>
      </c>
      <c r="I62" s="52">
        <f t="shared" si="32"/>
        <v>0</v>
      </c>
      <c r="J62" s="52"/>
      <c r="K62" s="115"/>
      <c r="L62" s="54">
        <f t="shared" si="33"/>
        <v>0</v>
      </c>
      <c r="M62" s="115"/>
      <c r="N62" s="54">
        <f t="shared" si="34"/>
        <v>0</v>
      </c>
      <c r="O62" s="54">
        <f t="shared" si="35"/>
        <v>0</v>
      </c>
      <c r="P62" s="1"/>
    </row>
    <row r="63" spans="2:16">
      <c r="B63" s="7" t="str">
        <f t="shared" si="36"/>
        <v/>
      </c>
      <c r="C63" s="50">
        <f>IF(D11="","-",+C62+1)</f>
        <v>2057</v>
      </c>
      <c r="D63" s="55">
        <f>IF(F62+SUM(E$17:E62)=D$10,F62,D$10-SUM(E$17:E62))</f>
        <v>0</v>
      </c>
      <c r="E63" s="354">
        <f>IF(+I14&lt;F62,I14,D63)</f>
        <v>0</v>
      </c>
      <c r="F63" s="55">
        <f t="shared" si="37"/>
        <v>0</v>
      </c>
      <c r="G63" s="355">
        <f t="shared" si="30"/>
        <v>0</v>
      </c>
      <c r="H63" s="336">
        <f t="shared" si="31"/>
        <v>0</v>
      </c>
      <c r="I63" s="52">
        <f t="shared" si="32"/>
        <v>0</v>
      </c>
      <c r="J63" s="52"/>
      <c r="K63" s="115"/>
      <c r="L63" s="54">
        <f t="shared" si="33"/>
        <v>0</v>
      </c>
      <c r="M63" s="115"/>
      <c r="N63" s="54">
        <f t="shared" si="34"/>
        <v>0</v>
      </c>
      <c r="O63" s="54">
        <f t="shared" si="35"/>
        <v>0</v>
      </c>
      <c r="P63" s="1"/>
    </row>
    <row r="64" spans="2:16">
      <c r="B64" s="7" t="str">
        <f t="shared" si="36"/>
        <v/>
      </c>
      <c r="C64" s="50">
        <f>IF(D11="","-",+C63+1)</f>
        <v>2058</v>
      </c>
      <c r="D64" s="55">
        <f>IF(F63+SUM(E$17:E63)=D$10,F63,D$10-SUM(E$17:E63))</f>
        <v>0</v>
      </c>
      <c r="E64" s="354">
        <f>IF(+I14&lt;F63,I14,D64)</f>
        <v>0</v>
      </c>
      <c r="F64" s="55">
        <f t="shared" si="37"/>
        <v>0</v>
      </c>
      <c r="G64" s="355">
        <f t="shared" si="30"/>
        <v>0</v>
      </c>
      <c r="H64" s="336">
        <f t="shared" si="31"/>
        <v>0</v>
      </c>
      <c r="I64" s="52">
        <f t="shared" si="32"/>
        <v>0</v>
      </c>
      <c r="J64" s="52"/>
      <c r="K64" s="115"/>
      <c r="L64" s="54">
        <f t="shared" si="33"/>
        <v>0</v>
      </c>
      <c r="M64" s="115"/>
      <c r="N64" s="54">
        <f t="shared" si="34"/>
        <v>0</v>
      </c>
      <c r="O64" s="54">
        <f t="shared" si="35"/>
        <v>0</v>
      </c>
      <c r="P64" s="1"/>
    </row>
    <row r="65" spans="2:16">
      <c r="B65" s="7" t="str">
        <f t="shared" si="36"/>
        <v/>
      </c>
      <c r="C65" s="50">
        <f>IF(D11="","-",+C64+1)</f>
        <v>2059</v>
      </c>
      <c r="D65" s="55">
        <f>IF(F64+SUM(E$17:E64)=D$10,F64,D$10-SUM(E$17:E64))</f>
        <v>0</v>
      </c>
      <c r="E65" s="354">
        <f>IF(+I14&lt;F64,I14,D65)</f>
        <v>0</v>
      </c>
      <c r="F65" s="55">
        <f t="shared" si="37"/>
        <v>0</v>
      </c>
      <c r="G65" s="355">
        <f t="shared" si="30"/>
        <v>0</v>
      </c>
      <c r="H65" s="336">
        <f t="shared" si="31"/>
        <v>0</v>
      </c>
      <c r="I65" s="52">
        <f t="shared" si="32"/>
        <v>0</v>
      </c>
      <c r="J65" s="52"/>
      <c r="K65" s="115"/>
      <c r="L65" s="54">
        <f t="shared" si="33"/>
        <v>0</v>
      </c>
      <c r="M65" s="115"/>
      <c r="N65" s="54">
        <f t="shared" si="34"/>
        <v>0</v>
      </c>
      <c r="O65" s="54">
        <f t="shared" si="35"/>
        <v>0</v>
      </c>
      <c r="P65" s="1"/>
    </row>
    <row r="66" spans="2:16">
      <c r="B66" s="7" t="str">
        <f t="shared" si="36"/>
        <v/>
      </c>
      <c r="C66" s="50">
        <f>IF(D11="","-",+C65+1)</f>
        <v>2060</v>
      </c>
      <c r="D66" s="55">
        <f>IF(F65+SUM(E$17:E65)=D$10,F65,D$10-SUM(E$17:E65))</f>
        <v>0</v>
      </c>
      <c r="E66" s="354">
        <f>IF(+I14&lt;F65,I14,D66)</f>
        <v>0</v>
      </c>
      <c r="F66" s="55">
        <f t="shared" si="37"/>
        <v>0</v>
      </c>
      <c r="G66" s="355">
        <f t="shared" si="30"/>
        <v>0</v>
      </c>
      <c r="H66" s="336">
        <f t="shared" si="31"/>
        <v>0</v>
      </c>
      <c r="I66" s="52">
        <f t="shared" si="32"/>
        <v>0</v>
      </c>
      <c r="J66" s="52"/>
      <c r="K66" s="115"/>
      <c r="L66" s="54">
        <f t="shared" si="33"/>
        <v>0</v>
      </c>
      <c r="M66" s="115"/>
      <c r="N66" s="54">
        <f t="shared" si="34"/>
        <v>0</v>
      </c>
      <c r="O66" s="54">
        <f t="shared" si="35"/>
        <v>0</v>
      </c>
      <c r="P66" s="1"/>
    </row>
    <row r="67" spans="2:16">
      <c r="B67" s="7" t="str">
        <f t="shared" si="36"/>
        <v/>
      </c>
      <c r="C67" s="50">
        <f>IF(D11="","-",+C66+1)</f>
        <v>2061</v>
      </c>
      <c r="D67" s="55">
        <f>IF(F66+SUM(E$17:E66)=D$10,F66,D$10-SUM(E$17:E66))</f>
        <v>0</v>
      </c>
      <c r="E67" s="354">
        <f>IF(+I14&lt;F66,I14,D67)</f>
        <v>0</v>
      </c>
      <c r="F67" s="55">
        <f t="shared" si="37"/>
        <v>0</v>
      </c>
      <c r="G67" s="355">
        <f t="shared" si="30"/>
        <v>0</v>
      </c>
      <c r="H67" s="336">
        <f t="shared" si="31"/>
        <v>0</v>
      </c>
      <c r="I67" s="52">
        <f t="shared" si="32"/>
        <v>0</v>
      </c>
      <c r="J67" s="52"/>
      <c r="K67" s="115"/>
      <c r="L67" s="54">
        <f t="shared" si="33"/>
        <v>0</v>
      </c>
      <c r="M67" s="115"/>
      <c r="N67" s="54">
        <f t="shared" si="34"/>
        <v>0</v>
      </c>
      <c r="O67" s="54">
        <f t="shared" si="35"/>
        <v>0</v>
      </c>
      <c r="P67" s="1"/>
    </row>
    <row r="68" spans="2:16">
      <c r="B68" s="7" t="str">
        <f t="shared" si="36"/>
        <v/>
      </c>
      <c r="C68" s="50">
        <f>IF(D11="","-",+C67+1)</f>
        <v>2062</v>
      </c>
      <c r="D68" s="55">
        <f>IF(F67+SUM(E$17:E67)=D$10,F67,D$10-SUM(E$17:E67))</f>
        <v>0</v>
      </c>
      <c r="E68" s="354">
        <f>IF(+I14&lt;F67,I14,D68)</f>
        <v>0</v>
      </c>
      <c r="F68" s="55">
        <f t="shared" si="37"/>
        <v>0</v>
      </c>
      <c r="G68" s="355">
        <f t="shared" si="30"/>
        <v>0</v>
      </c>
      <c r="H68" s="336">
        <f t="shared" si="31"/>
        <v>0</v>
      </c>
      <c r="I68" s="52">
        <f t="shared" si="32"/>
        <v>0</v>
      </c>
      <c r="J68" s="52"/>
      <c r="K68" s="115"/>
      <c r="L68" s="54">
        <f t="shared" si="33"/>
        <v>0</v>
      </c>
      <c r="M68" s="115"/>
      <c r="N68" s="54">
        <f t="shared" si="34"/>
        <v>0</v>
      </c>
      <c r="O68" s="54">
        <f t="shared" si="35"/>
        <v>0</v>
      </c>
      <c r="P68" s="1"/>
    </row>
    <row r="69" spans="2:16">
      <c r="B69" s="7" t="str">
        <f t="shared" si="36"/>
        <v/>
      </c>
      <c r="C69" s="50">
        <f>IF(D11="","-",+C68+1)</f>
        <v>2063</v>
      </c>
      <c r="D69" s="55">
        <f>IF(F68+SUM(E$17:E68)=D$10,F68,D$10-SUM(E$17:E68))</f>
        <v>0</v>
      </c>
      <c r="E69" s="354">
        <f>IF(+I14&lt;F68,I14,D69)</f>
        <v>0</v>
      </c>
      <c r="F69" s="55">
        <f t="shared" si="37"/>
        <v>0</v>
      </c>
      <c r="G69" s="355">
        <f t="shared" si="30"/>
        <v>0</v>
      </c>
      <c r="H69" s="336">
        <f t="shared" si="31"/>
        <v>0</v>
      </c>
      <c r="I69" s="52">
        <f t="shared" si="32"/>
        <v>0</v>
      </c>
      <c r="J69" s="52"/>
      <c r="K69" s="115"/>
      <c r="L69" s="54">
        <f t="shared" si="33"/>
        <v>0</v>
      </c>
      <c r="M69" s="115"/>
      <c r="N69" s="54">
        <f t="shared" si="34"/>
        <v>0</v>
      </c>
      <c r="O69" s="54">
        <f t="shared" si="35"/>
        <v>0</v>
      </c>
      <c r="P69" s="1"/>
    </row>
    <row r="70" spans="2:16">
      <c r="B70" s="7" t="str">
        <f t="shared" si="36"/>
        <v/>
      </c>
      <c r="C70" s="50">
        <f>IF(D11="","-",+C69+1)</f>
        <v>2064</v>
      </c>
      <c r="D70" s="55">
        <f>IF(F69+SUM(E$17:E69)=D$10,F69,D$10-SUM(E$17:E69))</f>
        <v>0</v>
      </c>
      <c r="E70" s="354">
        <f>IF(+I14&lt;F69,I14,D70)</f>
        <v>0</v>
      </c>
      <c r="F70" s="55">
        <f t="shared" si="37"/>
        <v>0</v>
      </c>
      <c r="G70" s="355">
        <f t="shared" si="30"/>
        <v>0</v>
      </c>
      <c r="H70" s="336">
        <f t="shared" si="31"/>
        <v>0</v>
      </c>
      <c r="I70" s="52">
        <f t="shared" si="32"/>
        <v>0</v>
      </c>
      <c r="J70" s="52"/>
      <c r="K70" s="115"/>
      <c r="L70" s="54">
        <f t="shared" si="33"/>
        <v>0</v>
      </c>
      <c r="M70" s="115"/>
      <c r="N70" s="54">
        <f t="shared" si="34"/>
        <v>0</v>
      </c>
      <c r="O70" s="54">
        <f t="shared" si="35"/>
        <v>0</v>
      </c>
      <c r="P70" s="1"/>
    </row>
    <row r="71" spans="2:16">
      <c r="B71" s="7" t="str">
        <f t="shared" si="36"/>
        <v/>
      </c>
      <c r="C71" s="50">
        <f>IF(D11="","-",+C70+1)</f>
        <v>2065</v>
      </c>
      <c r="D71" s="55">
        <f>IF(F70+SUM(E$17:E70)=D$10,F70,D$10-SUM(E$17:E70))</f>
        <v>0</v>
      </c>
      <c r="E71" s="354">
        <f>IF(+I14&lt;F70,I14,D71)</f>
        <v>0</v>
      </c>
      <c r="F71" s="55">
        <f t="shared" si="37"/>
        <v>0</v>
      </c>
      <c r="G71" s="355">
        <f t="shared" si="30"/>
        <v>0</v>
      </c>
      <c r="H71" s="336">
        <f t="shared" si="31"/>
        <v>0</v>
      </c>
      <c r="I71" s="52">
        <f t="shared" si="32"/>
        <v>0</v>
      </c>
      <c r="J71" s="52"/>
      <c r="K71" s="115"/>
      <c r="L71" s="54">
        <f t="shared" si="33"/>
        <v>0</v>
      </c>
      <c r="M71" s="115"/>
      <c r="N71" s="54">
        <f t="shared" si="34"/>
        <v>0</v>
      </c>
      <c r="O71" s="54">
        <f t="shared" si="35"/>
        <v>0</v>
      </c>
      <c r="P71" s="1"/>
    </row>
    <row r="72" spans="2:16" ht="13.5" thickBot="1">
      <c r="B72" s="7" t="str">
        <f t="shared" si="36"/>
        <v/>
      </c>
      <c r="C72" s="58">
        <f>IF(D11="","-",+C71+1)</f>
        <v>2066</v>
      </c>
      <c r="D72" s="59">
        <f>IF(F71+SUM(E$17:E71)=D$10,F71,D$10-SUM(E$17:E71))</f>
        <v>0</v>
      </c>
      <c r="E72" s="357">
        <f>IF(+I14&lt;F71,I14,D72)</f>
        <v>0</v>
      </c>
      <c r="F72" s="59">
        <f t="shared" si="37"/>
        <v>0</v>
      </c>
      <c r="G72" s="59">
        <f t="shared" si="30"/>
        <v>0</v>
      </c>
      <c r="H72" s="59">
        <f t="shared" si="31"/>
        <v>0</v>
      </c>
      <c r="I72" s="61">
        <f t="shared" si="32"/>
        <v>0</v>
      </c>
      <c r="J72" s="52"/>
      <c r="K72" s="116"/>
      <c r="L72" s="62">
        <f t="shared" si="33"/>
        <v>0</v>
      </c>
      <c r="M72" s="116"/>
      <c r="N72" s="62">
        <f t="shared" si="34"/>
        <v>0</v>
      </c>
      <c r="O72" s="62">
        <f t="shared" si="35"/>
        <v>0</v>
      </c>
      <c r="P72" s="1"/>
    </row>
    <row r="73" spans="2:16">
      <c r="C73" s="12" t="s">
        <v>77</v>
      </c>
      <c r="D73" s="266"/>
      <c r="E73" s="266">
        <f>SUM(E17:E72)</f>
        <v>1404099.6199999999</v>
      </c>
      <c r="F73" s="266"/>
      <c r="G73" s="266">
        <f>SUM(G17:G72)</f>
        <v>5069861.1391658876</v>
      </c>
      <c r="H73" s="266">
        <f>SUM(H17:H72)</f>
        <v>5069861.1391658876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11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144258.99</v>
      </c>
      <c r="N87" s="364">
        <f>IF(J92&lt;D11,0,VLOOKUP(J92,C17:O72,11))</f>
        <v>144258.99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151805.56085705641</v>
      </c>
      <c r="N88" s="367">
        <f>IF(J92&lt;D11,0,VLOOKUP(J92,C99:P154,7))</f>
        <v>151805.56085705641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Bartlesville SE to Coffeyville T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7546.5708570564166</v>
      </c>
      <c r="N89" s="369">
        <f>+N88-N87</f>
        <v>7546.5708570564166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TP2008079-PSO</v>
      </c>
      <c r="E91" s="74" t="str">
        <f>E9</f>
        <v>SPP Project ID =</v>
      </c>
      <c r="F91" s="513">
        <f>F9</f>
        <v>446</v>
      </c>
      <c r="G91" s="74"/>
      <c r="H91" s="74"/>
      <c r="I91" s="74"/>
      <c r="J91" s="74"/>
    </row>
    <row r="92" spans="1:16">
      <c r="C92" s="128" t="s">
        <v>226</v>
      </c>
      <c r="D92" s="335">
        <v>1404099.6199999999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2011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37949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2011</v>
      </c>
      <c r="D99" s="348">
        <v>0</v>
      </c>
      <c r="E99" s="352">
        <v>13815</v>
      </c>
      <c r="F99" s="400">
        <v>1422922</v>
      </c>
      <c r="G99" s="376">
        <v>711461</v>
      </c>
      <c r="H99" s="378">
        <v>113286.80836539247</v>
      </c>
      <c r="I99" s="378">
        <v>113286.80836539247</v>
      </c>
      <c r="J99" s="54">
        <f t="shared" ref="J99:J130" si="38">+I99-H99</f>
        <v>0</v>
      </c>
      <c r="K99" s="401"/>
      <c r="L99" s="394">
        <f t="shared" ref="L99:L104" si="39">H99</f>
        <v>113286.80836539247</v>
      </c>
      <c r="M99" s="402">
        <f t="shared" ref="M99:M130" si="40">IF(L99&lt;&gt;0,+H99-L99,0)</f>
        <v>0</v>
      </c>
      <c r="N99" s="394">
        <f t="shared" ref="N99:N104" si="41">I99</f>
        <v>113286.80836539247</v>
      </c>
      <c r="O99" s="53">
        <f t="shared" ref="O99:O130" si="42">IF(N99&lt;&gt;0,+I99-N99,0)</f>
        <v>0</v>
      </c>
      <c r="P99" s="53">
        <f t="shared" ref="P99:P130" si="43">+O99-M99</f>
        <v>0</v>
      </c>
    </row>
    <row r="100" spans="1:16">
      <c r="B100" s="7" t="str">
        <f t="shared" ref="B100:B131" si="44">IF(D100=F99,"","IU")</f>
        <v>IU</v>
      </c>
      <c r="C100" s="50">
        <f>IF(D93="","-",+C99+1)</f>
        <v>2012</v>
      </c>
      <c r="D100" s="348">
        <v>1479908</v>
      </c>
      <c r="E100" s="352">
        <v>28725</v>
      </c>
      <c r="F100" s="400">
        <v>1451183</v>
      </c>
      <c r="G100" s="351">
        <v>1465545.5</v>
      </c>
      <c r="H100" s="378">
        <v>239551.75399863988</v>
      </c>
      <c r="I100" s="378">
        <v>239551.75399863988</v>
      </c>
      <c r="J100" s="54">
        <v>0</v>
      </c>
      <c r="K100" s="401"/>
      <c r="L100" s="379">
        <f t="shared" si="39"/>
        <v>239551.75399863988</v>
      </c>
      <c r="M100" s="402">
        <f t="shared" ref="M100:M105" si="45">IF(L100&lt;&gt;0,+H100-L100,0)</f>
        <v>0</v>
      </c>
      <c r="N100" s="379">
        <f t="shared" si="41"/>
        <v>239551.75399863988</v>
      </c>
      <c r="O100" s="54">
        <f t="shared" ref="O100:O105" si="46">IF(N100&lt;&gt;0,+I100-N100,0)</f>
        <v>0</v>
      </c>
      <c r="P100" s="54">
        <f t="shared" ref="P100:P105" si="47">+O100-M100</f>
        <v>0</v>
      </c>
    </row>
    <row r="101" spans="1:16">
      <c r="B101" s="7" t="str">
        <f t="shared" si="44"/>
        <v/>
      </c>
      <c r="C101" s="50">
        <f>IF(D93="","-",+C100+1)</f>
        <v>2013</v>
      </c>
      <c r="D101" s="348">
        <v>1451183</v>
      </c>
      <c r="E101" s="352">
        <v>28725</v>
      </c>
      <c r="F101" s="400">
        <v>1422458</v>
      </c>
      <c r="G101" s="351">
        <v>1436820.5</v>
      </c>
      <c r="H101" s="378">
        <v>235540.35933406017</v>
      </c>
      <c r="I101" s="378">
        <v>235540.35933406017</v>
      </c>
      <c r="J101" s="54">
        <v>0</v>
      </c>
      <c r="K101" s="401"/>
      <c r="L101" s="379">
        <f t="shared" si="39"/>
        <v>235540.35933406017</v>
      </c>
      <c r="M101" s="402">
        <f t="shared" si="45"/>
        <v>0</v>
      </c>
      <c r="N101" s="379">
        <f t="shared" si="41"/>
        <v>235540.35933406017</v>
      </c>
      <c r="O101" s="54">
        <f t="shared" si="46"/>
        <v>0</v>
      </c>
      <c r="P101" s="54">
        <f t="shared" si="47"/>
        <v>0</v>
      </c>
    </row>
    <row r="102" spans="1:16">
      <c r="B102" s="7" t="str">
        <f t="shared" si="44"/>
        <v>IU</v>
      </c>
      <c r="C102" s="50">
        <f>IF(D93="","-",+C101+1)</f>
        <v>2014</v>
      </c>
      <c r="D102" s="348">
        <v>1332834.6199999999</v>
      </c>
      <c r="E102" s="352">
        <v>27002</v>
      </c>
      <c r="F102" s="400">
        <v>1305832.6199999999</v>
      </c>
      <c r="G102" s="351">
        <v>1319333.6199999999</v>
      </c>
      <c r="H102" s="378">
        <v>212494.91385632072</v>
      </c>
      <c r="I102" s="378">
        <v>212494.91385632072</v>
      </c>
      <c r="J102" s="54">
        <v>0</v>
      </c>
      <c r="K102" s="401"/>
      <c r="L102" s="379">
        <f t="shared" si="39"/>
        <v>212494.91385632072</v>
      </c>
      <c r="M102" s="402">
        <f t="shared" si="45"/>
        <v>0</v>
      </c>
      <c r="N102" s="379">
        <f t="shared" si="41"/>
        <v>212494.91385632072</v>
      </c>
      <c r="O102" s="54">
        <f t="shared" si="46"/>
        <v>0</v>
      </c>
      <c r="P102" s="54">
        <f t="shared" si="47"/>
        <v>0</v>
      </c>
    </row>
    <row r="103" spans="1:16">
      <c r="B103" s="7" t="str">
        <f t="shared" si="44"/>
        <v/>
      </c>
      <c r="C103" s="50">
        <f>IF(D93="","-",+C102+1)</f>
        <v>2015</v>
      </c>
      <c r="D103" s="348">
        <v>1305832.6199999999</v>
      </c>
      <c r="E103" s="352">
        <v>27002</v>
      </c>
      <c r="F103" s="400">
        <v>1278830.6199999999</v>
      </c>
      <c r="G103" s="351">
        <v>1292331.6199999999</v>
      </c>
      <c r="H103" s="378">
        <v>203330.25869072074</v>
      </c>
      <c r="I103" s="378">
        <v>203330.25869072074</v>
      </c>
      <c r="J103" s="54">
        <f t="shared" si="38"/>
        <v>0</v>
      </c>
      <c r="K103" s="401"/>
      <c r="L103" s="379">
        <f t="shared" si="39"/>
        <v>203330.25869072074</v>
      </c>
      <c r="M103" s="402">
        <f t="shared" si="45"/>
        <v>0</v>
      </c>
      <c r="N103" s="379">
        <f t="shared" si="41"/>
        <v>203330.25869072074</v>
      </c>
      <c r="O103" s="54">
        <f t="shared" si="46"/>
        <v>0</v>
      </c>
      <c r="P103" s="54">
        <f t="shared" si="47"/>
        <v>0</v>
      </c>
    </row>
    <row r="104" spans="1:16">
      <c r="B104" s="7" t="str">
        <f t="shared" si="44"/>
        <v/>
      </c>
      <c r="C104" s="50">
        <f>IF(D93="","-",+C103+1)</f>
        <v>2016</v>
      </c>
      <c r="D104" s="348">
        <v>1278830.6199999999</v>
      </c>
      <c r="E104" s="352">
        <v>30524</v>
      </c>
      <c r="F104" s="400">
        <v>1248306.6199999999</v>
      </c>
      <c r="G104" s="351">
        <v>1263568.6199999999</v>
      </c>
      <c r="H104" s="378">
        <v>193417.89490142919</v>
      </c>
      <c r="I104" s="378">
        <v>193417.89490142919</v>
      </c>
      <c r="J104" s="54">
        <f t="shared" si="38"/>
        <v>0</v>
      </c>
      <c r="K104" s="54"/>
      <c r="L104" s="379">
        <f t="shared" si="39"/>
        <v>193417.89490142919</v>
      </c>
      <c r="M104" s="402">
        <f t="shared" si="45"/>
        <v>0</v>
      </c>
      <c r="N104" s="379">
        <f t="shared" si="41"/>
        <v>193417.89490142919</v>
      </c>
      <c r="O104" s="54">
        <f t="shared" si="46"/>
        <v>0</v>
      </c>
      <c r="P104" s="54">
        <f t="shared" si="47"/>
        <v>0</v>
      </c>
    </row>
    <row r="105" spans="1:16">
      <c r="B105" s="7" t="str">
        <f t="shared" si="44"/>
        <v/>
      </c>
      <c r="C105" s="50">
        <f>IF(D93="","-",+C104+1)</f>
        <v>2017</v>
      </c>
      <c r="D105" s="348">
        <v>1248306.6199999999</v>
      </c>
      <c r="E105" s="352">
        <v>30524</v>
      </c>
      <c r="F105" s="400">
        <v>1217782.6199999999</v>
      </c>
      <c r="G105" s="351">
        <v>1233044.6199999999</v>
      </c>
      <c r="H105" s="378">
        <v>186938.81917011391</v>
      </c>
      <c r="I105" s="378">
        <v>186938.81917011391</v>
      </c>
      <c r="J105" s="54">
        <f t="shared" si="38"/>
        <v>0</v>
      </c>
      <c r="K105" s="54"/>
      <c r="L105" s="379">
        <f t="shared" ref="L105:L110" si="48">H105</f>
        <v>186938.81917011391</v>
      </c>
      <c r="M105" s="402">
        <f t="shared" si="45"/>
        <v>0</v>
      </c>
      <c r="N105" s="379">
        <f t="shared" ref="N105:N110" si="49">I105</f>
        <v>186938.81917011391</v>
      </c>
      <c r="O105" s="54">
        <f t="shared" si="46"/>
        <v>0</v>
      </c>
      <c r="P105" s="54">
        <f t="shared" si="47"/>
        <v>0</v>
      </c>
    </row>
    <row r="106" spans="1:16">
      <c r="B106" s="7" t="str">
        <f t="shared" si="44"/>
        <v/>
      </c>
      <c r="C106" s="50">
        <f>IF(D93="","-",+C105+1)</f>
        <v>2018</v>
      </c>
      <c r="D106" s="348">
        <v>1217782.6199999999</v>
      </c>
      <c r="E106" s="352">
        <v>32653</v>
      </c>
      <c r="F106" s="400">
        <v>1185129.6199999999</v>
      </c>
      <c r="G106" s="351">
        <v>1201456.1199999999</v>
      </c>
      <c r="H106" s="378">
        <v>156085.27550586959</v>
      </c>
      <c r="I106" s="378">
        <v>156085.27550586959</v>
      </c>
      <c r="J106" s="54">
        <f t="shared" si="38"/>
        <v>0</v>
      </c>
      <c r="K106" s="54"/>
      <c r="L106" s="379">
        <f t="shared" si="48"/>
        <v>156085.27550586959</v>
      </c>
      <c r="M106" s="402">
        <f t="shared" ref="M106" si="50">IF(L106&lt;&gt;0,+H106-L106,0)</f>
        <v>0</v>
      </c>
      <c r="N106" s="379">
        <f t="shared" si="49"/>
        <v>156085.27550586959</v>
      </c>
      <c r="O106" s="54">
        <f t="shared" ref="O106" si="51">IF(N106&lt;&gt;0,+I106-N106,0)</f>
        <v>0</v>
      </c>
      <c r="P106" s="54">
        <f t="shared" ref="P106" si="52">+O106-M106</f>
        <v>0</v>
      </c>
    </row>
    <row r="107" spans="1:16">
      <c r="B107" s="7" t="str">
        <f t="shared" si="44"/>
        <v/>
      </c>
      <c r="C107" s="50">
        <f>IF(D93="","-",+C106+1)</f>
        <v>2019</v>
      </c>
      <c r="D107" s="348">
        <v>1185129.6199999999</v>
      </c>
      <c r="E107" s="352">
        <v>34246</v>
      </c>
      <c r="F107" s="400">
        <v>1150883.6199999999</v>
      </c>
      <c r="G107" s="351">
        <v>1168006.6199999999</v>
      </c>
      <c r="H107" s="378">
        <v>154683.86507702887</v>
      </c>
      <c r="I107" s="378">
        <v>154683.86507702887</v>
      </c>
      <c r="J107" s="54">
        <f t="shared" si="38"/>
        <v>0</v>
      </c>
      <c r="K107" s="54"/>
      <c r="L107" s="379">
        <f t="shared" si="48"/>
        <v>154683.86507702887</v>
      </c>
      <c r="M107" s="402">
        <f t="shared" ref="M107" si="53">IF(L107&lt;&gt;0,+H107-L107,0)</f>
        <v>0</v>
      </c>
      <c r="N107" s="379">
        <f t="shared" si="49"/>
        <v>154683.86507702887</v>
      </c>
      <c r="O107" s="54">
        <f t="shared" si="42"/>
        <v>0</v>
      </c>
      <c r="P107" s="54">
        <f t="shared" si="43"/>
        <v>0</v>
      </c>
    </row>
    <row r="108" spans="1:16">
      <c r="B108" s="7" t="str">
        <f t="shared" si="44"/>
        <v/>
      </c>
      <c r="C108" s="50">
        <f>IF(D93="","-",+C107+1)</f>
        <v>2020</v>
      </c>
      <c r="D108" s="348">
        <v>1150883.6199999999</v>
      </c>
      <c r="E108" s="352">
        <v>32653</v>
      </c>
      <c r="F108" s="400">
        <v>1118230.6199999999</v>
      </c>
      <c r="G108" s="351">
        <v>1134557.1199999999</v>
      </c>
      <c r="H108" s="378">
        <v>163464.31672839285</v>
      </c>
      <c r="I108" s="378">
        <v>163464.31672839285</v>
      </c>
      <c r="J108" s="54">
        <f t="shared" si="38"/>
        <v>0</v>
      </c>
      <c r="K108" s="54"/>
      <c r="L108" s="379">
        <f t="shared" si="48"/>
        <v>163464.31672839285</v>
      </c>
      <c r="M108" s="402">
        <f t="shared" ref="M108" si="54">IF(L108&lt;&gt;0,+H108-L108,0)</f>
        <v>0</v>
      </c>
      <c r="N108" s="379">
        <f t="shared" si="49"/>
        <v>163464.31672839285</v>
      </c>
      <c r="O108" s="54">
        <f t="shared" si="42"/>
        <v>0</v>
      </c>
      <c r="P108" s="54">
        <f t="shared" si="43"/>
        <v>0</v>
      </c>
    </row>
    <row r="109" spans="1:16">
      <c r="B109" s="7" t="str">
        <f t="shared" si="44"/>
        <v/>
      </c>
      <c r="C109" s="50">
        <f>IF(D93="","-",+C108+1)</f>
        <v>2021</v>
      </c>
      <c r="D109" s="348">
        <v>1118230.6199999999</v>
      </c>
      <c r="E109" s="352">
        <v>34246</v>
      </c>
      <c r="F109" s="400">
        <v>1083984.6199999999</v>
      </c>
      <c r="G109" s="351">
        <v>1101107.6199999999</v>
      </c>
      <c r="H109" s="378">
        <v>159544.11150802768</v>
      </c>
      <c r="I109" s="378">
        <v>159544.11150802768</v>
      </c>
      <c r="J109" s="54">
        <f t="shared" si="38"/>
        <v>0</v>
      </c>
      <c r="K109" s="54"/>
      <c r="L109" s="379">
        <f t="shared" si="48"/>
        <v>159544.11150802768</v>
      </c>
      <c r="M109" s="402">
        <f t="shared" ref="M109" si="55">IF(L109&lt;&gt;0,+H109-L109,0)</f>
        <v>0</v>
      </c>
      <c r="N109" s="379">
        <f t="shared" si="49"/>
        <v>159544.11150802768</v>
      </c>
      <c r="O109" s="54">
        <f t="shared" si="42"/>
        <v>0</v>
      </c>
      <c r="P109" s="54">
        <f t="shared" si="43"/>
        <v>0</v>
      </c>
    </row>
    <row r="110" spans="1:16">
      <c r="B110" s="7" t="str">
        <f t="shared" si="44"/>
        <v>IU</v>
      </c>
      <c r="C110" s="50">
        <f>IF(D93="","-",+C109+1)</f>
        <v>2022</v>
      </c>
      <c r="D110" s="348">
        <v>1173608</v>
      </c>
      <c r="E110" s="352">
        <v>38301</v>
      </c>
      <c r="F110" s="400">
        <v>1135307</v>
      </c>
      <c r="G110" s="351">
        <v>1154457.5</v>
      </c>
      <c r="H110" s="378">
        <v>165502.18998219044</v>
      </c>
      <c r="I110" s="378">
        <v>165502.18998219044</v>
      </c>
      <c r="J110" s="54">
        <f t="shared" si="38"/>
        <v>0</v>
      </c>
      <c r="K110" s="54"/>
      <c r="L110" s="379">
        <f t="shared" si="48"/>
        <v>165502.18998219044</v>
      </c>
      <c r="M110" s="402">
        <f t="shared" ref="M110" si="56">IF(L110&lt;&gt;0,+H110-L110,0)</f>
        <v>0</v>
      </c>
      <c r="N110" s="379">
        <f t="shared" si="49"/>
        <v>165502.18998219044</v>
      </c>
      <c r="O110" s="54">
        <f t="shared" ref="O110" si="57">IF(N110&lt;&gt;0,+I110-N110,0)</f>
        <v>0</v>
      </c>
      <c r="P110" s="54">
        <f t="shared" ref="P110" si="58">+O110-M110</f>
        <v>0</v>
      </c>
    </row>
    <row r="111" spans="1:16">
      <c r="B111" s="7" t="str">
        <f t="shared" si="44"/>
        <v>IU</v>
      </c>
      <c r="C111" s="50">
        <f>IF(D93="","-",+C110+1)</f>
        <v>2023</v>
      </c>
      <c r="D111" s="348">
        <v>1045683.6199999999</v>
      </c>
      <c r="E111" s="352">
        <v>36950</v>
      </c>
      <c r="F111" s="400">
        <v>1008733.6199999999</v>
      </c>
      <c r="G111" s="351">
        <v>1027208.6199999999</v>
      </c>
      <c r="H111" s="378">
        <v>154285.01353576343</v>
      </c>
      <c r="I111" s="378">
        <v>154285.01353576343</v>
      </c>
      <c r="J111" s="54">
        <f t="shared" si="38"/>
        <v>0</v>
      </c>
      <c r="K111" s="54"/>
      <c r="L111" s="379">
        <f t="shared" ref="L111" si="59">H111</f>
        <v>154285.01353576343</v>
      </c>
      <c r="M111" s="402">
        <f t="shared" ref="M111" si="60">IF(L111&lt;&gt;0,+H111-L111,0)</f>
        <v>0</v>
      </c>
      <c r="N111" s="379">
        <f t="shared" ref="N111" si="61">I111</f>
        <v>154285.01353576343</v>
      </c>
      <c r="O111" s="54">
        <f t="shared" ref="O111" si="62">IF(N111&lt;&gt;0,+I111-N111,0)</f>
        <v>0</v>
      </c>
      <c r="P111" s="54">
        <f t="shared" ref="P111" si="63">+O111-M111</f>
        <v>0</v>
      </c>
    </row>
    <row r="112" spans="1:16">
      <c r="B112" s="7" t="str">
        <f t="shared" si="44"/>
        <v/>
      </c>
      <c r="C112" s="50">
        <f>IF(D93="","-",+C111+1)</f>
        <v>2024</v>
      </c>
      <c r="D112" s="348">
        <v>1008733.6199999999</v>
      </c>
      <c r="E112" s="352">
        <v>37949</v>
      </c>
      <c r="F112" s="400">
        <v>970784.61999999988</v>
      </c>
      <c r="G112" s="351">
        <v>989759.11999999988</v>
      </c>
      <c r="H112" s="378">
        <v>170892.1679689888</v>
      </c>
      <c r="I112" s="378">
        <v>170892.1679689888</v>
      </c>
      <c r="J112" s="54">
        <f t="shared" si="38"/>
        <v>0</v>
      </c>
      <c r="K112" s="54"/>
      <c r="L112" s="379">
        <f t="shared" ref="L112" si="64">H112</f>
        <v>170892.1679689888</v>
      </c>
      <c r="M112" s="402">
        <f t="shared" ref="M112" si="65">IF(L112&lt;&gt;0,+H112-L112,0)</f>
        <v>0</v>
      </c>
      <c r="N112" s="379">
        <f t="shared" ref="N112" si="66">I112</f>
        <v>170892.1679689888</v>
      </c>
      <c r="O112" s="54">
        <f t="shared" ref="O112" si="67">IF(N112&lt;&gt;0,+I112-N112,0)</f>
        <v>0</v>
      </c>
      <c r="P112" s="54">
        <f t="shared" ref="P112" si="68">+O112-M112</f>
        <v>0</v>
      </c>
    </row>
    <row r="113" spans="2:16">
      <c r="B113" s="7" t="str">
        <f t="shared" si="44"/>
        <v/>
      </c>
      <c r="C113" s="50">
        <f>IF(D93="","-",+C112+1)</f>
        <v>2025</v>
      </c>
      <c r="D113" s="12">
        <f>IF(F112+SUM(E$99:E112)=D$92,F112,D$92-SUM(E$99:E112))</f>
        <v>970784.61999999988</v>
      </c>
      <c r="E113" s="355">
        <f>IF(+J96&lt;F112,J96,D113)</f>
        <v>37949</v>
      </c>
      <c r="F113" s="55">
        <f t="shared" ref="F113:F130" si="69">+D113-E113</f>
        <v>932835.61999999988</v>
      </c>
      <c r="G113" s="55">
        <f t="shared" ref="G113:G130" si="70">+(F113+D113)/2</f>
        <v>951810.11999999988</v>
      </c>
      <c r="H113" s="355">
        <f t="shared" ref="H113:H153" si="71">(D113+F113)/2*J$94+E113</f>
        <v>151805.56085705641</v>
      </c>
      <c r="I113" s="381">
        <f t="shared" ref="I113:I153" si="72">+J$95*G113+E113</f>
        <v>151805.56085705641</v>
      </c>
      <c r="J113" s="54">
        <f t="shared" si="38"/>
        <v>0</v>
      </c>
      <c r="K113" s="54"/>
      <c r="L113" s="115"/>
      <c r="M113" s="54">
        <f t="shared" si="40"/>
        <v>0</v>
      </c>
      <c r="N113" s="115"/>
      <c r="O113" s="54">
        <f t="shared" si="42"/>
        <v>0</v>
      </c>
      <c r="P113" s="54">
        <f t="shared" si="43"/>
        <v>0</v>
      </c>
    </row>
    <row r="114" spans="2:16">
      <c r="B114" s="7" t="str">
        <f t="shared" si="44"/>
        <v/>
      </c>
      <c r="C114" s="50">
        <f>IF(D93="","-",+C113+1)</f>
        <v>2026</v>
      </c>
      <c r="D114" s="12">
        <f>IF(F113+SUM(E$99:E113)=D$92,F113,D$92-SUM(E$99:E113))</f>
        <v>932835.61999999988</v>
      </c>
      <c r="E114" s="355">
        <f>IF(+J96&lt;F113,J96,D114)</f>
        <v>37949</v>
      </c>
      <c r="F114" s="55">
        <f t="shared" si="69"/>
        <v>894886.61999999988</v>
      </c>
      <c r="G114" s="55">
        <f t="shared" si="70"/>
        <v>913861.11999999988</v>
      </c>
      <c r="H114" s="355">
        <f t="shared" si="71"/>
        <v>147266.0602390503</v>
      </c>
      <c r="I114" s="381">
        <f t="shared" si="72"/>
        <v>147266.0602390503</v>
      </c>
      <c r="J114" s="54">
        <f t="shared" si="38"/>
        <v>0</v>
      </c>
      <c r="K114" s="54"/>
      <c r="L114" s="115"/>
      <c r="M114" s="54">
        <f t="shared" si="40"/>
        <v>0</v>
      </c>
      <c r="N114" s="115"/>
      <c r="O114" s="54">
        <f t="shared" si="42"/>
        <v>0</v>
      </c>
      <c r="P114" s="54">
        <f t="shared" si="43"/>
        <v>0</v>
      </c>
    </row>
    <row r="115" spans="2:16">
      <c r="B115" s="7" t="str">
        <f t="shared" si="44"/>
        <v/>
      </c>
      <c r="C115" s="50">
        <f>IF(D93="","-",+C114+1)</f>
        <v>2027</v>
      </c>
      <c r="D115" s="12">
        <f>IF(F114+SUM(E$99:E114)=D$92,F114,D$92-SUM(E$99:E114))</f>
        <v>894886.61999999988</v>
      </c>
      <c r="E115" s="355">
        <f>IF(+J96&lt;F114,J96,D115)</f>
        <v>37949</v>
      </c>
      <c r="F115" s="55">
        <f t="shared" si="69"/>
        <v>856937.61999999988</v>
      </c>
      <c r="G115" s="55">
        <f t="shared" si="70"/>
        <v>875912.11999999988</v>
      </c>
      <c r="H115" s="355">
        <f t="shared" si="71"/>
        <v>142726.55962104426</v>
      </c>
      <c r="I115" s="381">
        <f t="shared" si="72"/>
        <v>142726.55962104426</v>
      </c>
      <c r="J115" s="54">
        <f t="shared" si="38"/>
        <v>0</v>
      </c>
      <c r="K115" s="54"/>
      <c r="L115" s="115"/>
      <c r="M115" s="54">
        <f t="shared" si="40"/>
        <v>0</v>
      </c>
      <c r="N115" s="115"/>
      <c r="O115" s="54">
        <f t="shared" si="42"/>
        <v>0</v>
      </c>
      <c r="P115" s="54">
        <f t="shared" si="43"/>
        <v>0</v>
      </c>
    </row>
    <row r="116" spans="2:16">
      <c r="B116" s="7" t="str">
        <f t="shared" si="44"/>
        <v/>
      </c>
      <c r="C116" s="50">
        <f>IF(D93="","-",+C115+1)</f>
        <v>2028</v>
      </c>
      <c r="D116" s="12">
        <f>IF(F115+SUM(E$99:E115)=D$92,F115,D$92-SUM(E$99:E115))</f>
        <v>856937.61999999988</v>
      </c>
      <c r="E116" s="355">
        <f>IF(+J96&lt;F115,J96,D116)</f>
        <v>37949</v>
      </c>
      <c r="F116" s="55">
        <f t="shared" si="69"/>
        <v>818988.61999999988</v>
      </c>
      <c r="G116" s="55">
        <f t="shared" si="70"/>
        <v>837963.11999999988</v>
      </c>
      <c r="H116" s="355">
        <f t="shared" si="71"/>
        <v>138187.05900303816</v>
      </c>
      <c r="I116" s="381">
        <f t="shared" si="72"/>
        <v>138187.05900303816</v>
      </c>
      <c r="J116" s="54">
        <f t="shared" si="38"/>
        <v>0</v>
      </c>
      <c r="K116" s="54"/>
      <c r="L116" s="115"/>
      <c r="M116" s="54">
        <f t="shared" si="40"/>
        <v>0</v>
      </c>
      <c r="N116" s="115"/>
      <c r="O116" s="54">
        <f t="shared" si="42"/>
        <v>0</v>
      </c>
      <c r="P116" s="54">
        <f t="shared" si="43"/>
        <v>0</v>
      </c>
    </row>
    <row r="117" spans="2:16">
      <c r="B117" s="7" t="str">
        <f t="shared" si="44"/>
        <v/>
      </c>
      <c r="C117" s="50">
        <f>IF(D93="","-",+C116+1)</f>
        <v>2029</v>
      </c>
      <c r="D117" s="12">
        <f>IF(F116+SUM(E$99:E116)=D$92,F116,D$92-SUM(E$99:E116))</f>
        <v>818988.61999999988</v>
      </c>
      <c r="E117" s="355">
        <f>IF(+J96&lt;F116,J96,D117)</f>
        <v>37949</v>
      </c>
      <c r="F117" s="55">
        <f t="shared" si="69"/>
        <v>781039.61999999988</v>
      </c>
      <c r="G117" s="55">
        <f t="shared" si="70"/>
        <v>800014.11999999988</v>
      </c>
      <c r="H117" s="355">
        <f t="shared" si="71"/>
        <v>133647.55838503211</v>
      </c>
      <c r="I117" s="381">
        <f t="shared" si="72"/>
        <v>133647.55838503211</v>
      </c>
      <c r="J117" s="54">
        <f t="shared" si="38"/>
        <v>0</v>
      </c>
      <c r="K117" s="54"/>
      <c r="L117" s="115"/>
      <c r="M117" s="54">
        <f t="shared" si="40"/>
        <v>0</v>
      </c>
      <c r="N117" s="115"/>
      <c r="O117" s="54">
        <f t="shared" si="42"/>
        <v>0</v>
      </c>
      <c r="P117" s="54">
        <f t="shared" si="43"/>
        <v>0</v>
      </c>
    </row>
    <row r="118" spans="2:16">
      <c r="B118" s="7" t="str">
        <f t="shared" si="44"/>
        <v/>
      </c>
      <c r="C118" s="50">
        <f>IF(D93="","-",+C117+1)</f>
        <v>2030</v>
      </c>
      <c r="D118" s="12">
        <f>IF(F117+SUM(E$99:E117)=D$92,F117,D$92-SUM(E$99:E117))</f>
        <v>781039.61999999988</v>
      </c>
      <c r="E118" s="355">
        <f>IF(+J96&lt;F117,J96,D118)</f>
        <v>37949</v>
      </c>
      <c r="F118" s="55">
        <f t="shared" si="69"/>
        <v>743090.61999999988</v>
      </c>
      <c r="G118" s="55">
        <f t="shared" si="70"/>
        <v>762065.11999999988</v>
      </c>
      <c r="H118" s="355">
        <f t="shared" si="71"/>
        <v>129108.05776702602</v>
      </c>
      <c r="I118" s="381">
        <f t="shared" si="72"/>
        <v>129108.05776702602</v>
      </c>
      <c r="J118" s="54">
        <f t="shared" si="38"/>
        <v>0</v>
      </c>
      <c r="K118" s="54"/>
      <c r="L118" s="115"/>
      <c r="M118" s="54">
        <f t="shared" si="40"/>
        <v>0</v>
      </c>
      <c r="N118" s="115"/>
      <c r="O118" s="54">
        <f t="shared" si="42"/>
        <v>0</v>
      </c>
      <c r="P118" s="54">
        <f t="shared" si="43"/>
        <v>0</v>
      </c>
    </row>
    <row r="119" spans="2:16">
      <c r="B119" s="7" t="str">
        <f t="shared" si="44"/>
        <v/>
      </c>
      <c r="C119" s="50">
        <f>IF(D93="","-",+C118+1)</f>
        <v>2031</v>
      </c>
      <c r="D119" s="12">
        <f>IF(F118+SUM(E$99:E118)=D$92,F118,D$92-SUM(E$99:E118))</f>
        <v>743090.61999999988</v>
      </c>
      <c r="E119" s="355">
        <f>IF(+J96&lt;F118,J96,D119)</f>
        <v>37949</v>
      </c>
      <c r="F119" s="55">
        <f t="shared" si="69"/>
        <v>705141.61999999988</v>
      </c>
      <c r="G119" s="55">
        <f t="shared" si="70"/>
        <v>724116.11999999988</v>
      </c>
      <c r="H119" s="355">
        <f t="shared" si="71"/>
        <v>124568.55714901995</v>
      </c>
      <c r="I119" s="381">
        <f t="shared" si="72"/>
        <v>124568.55714901995</v>
      </c>
      <c r="J119" s="54">
        <f t="shared" si="38"/>
        <v>0</v>
      </c>
      <c r="K119" s="54"/>
      <c r="L119" s="115"/>
      <c r="M119" s="54">
        <f t="shared" si="40"/>
        <v>0</v>
      </c>
      <c r="N119" s="115"/>
      <c r="O119" s="54">
        <f t="shared" si="42"/>
        <v>0</v>
      </c>
      <c r="P119" s="54">
        <f t="shared" si="43"/>
        <v>0</v>
      </c>
    </row>
    <row r="120" spans="2:16">
      <c r="B120" s="7" t="str">
        <f t="shared" si="44"/>
        <v/>
      </c>
      <c r="C120" s="50">
        <f>IF(D93="","-",+C119+1)</f>
        <v>2032</v>
      </c>
      <c r="D120" s="12">
        <f>IF(F119+SUM(E$99:E119)=D$92,F119,D$92-SUM(E$99:E119))</f>
        <v>705141.61999999988</v>
      </c>
      <c r="E120" s="355">
        <f>IF(+J96&lt;F119,J96,D120)</f>
        <v>37949</v>
      </c>
      <c r="F120" s="55">
        <f t="shared" si="69"/>
        <v>667192.61999999988</v>
      </c>
      <c r="G120" s="55">
        <f t="shared" si="70"/>
        <v>686167.11999999988</v>
      </c>
      <c r="H120" s="355">
        <f t="shared" si="71"/>
        <v>120029.05653101389</v>
      </c>
      <c r="I120" s="381">
        <f t="shared" si="72"/>
        <v>120029.05653101389</v>
      </c>
      <c r="J120" s="54">
        <f t="shared" si="38"/>
        <v>0</v>
      </c>
      <c r="K120" s="54"/>
      <c r="L120" s="115"/>
      <c r="M120" s="54">
        <f t="shared" si="40"/>
        <v>0</v>
      </c>
      <c r="N120" s="115"/>
      <c r="O120" s="54">
        <f t="shared" si="42"/>
        <v>0</v>
      </c>
      <c r="P120" s="54">
        <f t="shared" si="43"/>
        <v>0</v>
      </c>
    </row>
    <row r="121" spans="2:16">
      <c r="B121" s="7" t="str">
        <f t="shared" si="44"/>
        <v/>
      </c>
      <c r="C121" s="50">
        <f>IF(D93="","-",+C120+1)</f>
        <v>2033</v>
      </c>
      <c r="D121" s="12">
        <f>IF(F120+SUM(E$99:E120)=D$92,F120,D$92-SUM(E$99:E120))</f>
        <v>667192.61999999988</v>
      </c>
      <c r="E121" s="355">
        <f>IF(+J96&lt;F120,J96,D121)</f>
        <v>37949</v>
      </c>
      <c r="F121" s="55">
        <f t="shared" si="69"/>
        <v>629243.61999999988</v>
      </c>
      <c r="G121" s="55">
        <f t="shared" si="70"/>
        <v>648218.11999999988</v>
      </c>
      <c r="H121" s="355">
        <f t="shared" si="71"/>
        <v>115489.55591300782</v>
      </c>
      <c r="I121" s="381">
        <f t="shared" si="72"/>
        <v>115489.55591300782</v>
      </c>
      <c r="J121" s="54">
        <f t="shared" si="38"/>
        <v>0</v>
      </c>
      <c r="K121" s="54"/>
      <c r="L121" s="115"/>
      <c r="M121" s="54">
        <f t="shared" si="40"/>
        <v>0</v>
      </c>
      <c r="N121" s="115"/>
      <c r="O121" s="54">
        <f t="shared" si="42"/>
        <v>0</v>
      </c>
      <c r="P121" s="54">
        <f t="shared" si="43"/>
        <v>0</v>
      </c>
    </row>
    <row r="122" spans="2:16">
      <c r="B122" s="7" t="str">
        <f t="shared" si="44"/>
        <v/>
      </c>
      <c r="C122" s="50">
        <f>IF(D93="","-",+C121+1)</f>
        <v>2034</v>
      </c>
      <c r="D122" s="12">
        <f>IF(F121+SUM(E$99:E121)=D$92,F121,D$92-SUM(E$99:E121))</f>
        <v>629243.61999999988</v>
      </c>
      <c r="E122" s="355">
        <f>IF(+J96&lt;F121,J96,D122)</f>
        <v>37949</v>
      </c>
      <c r="F122" s="55">
        <f t="shared" si="69"/>
        <v>591294.61999999988</v>
      </c>
      <c r="G122" s="55">
        <f t="shared" si="70"/>
        <v>610269.11999999988</v>
      </c>
      <c r="H122" s="355">
        <f t="shared" si="71"/>
        <v>110950.05529500174</v>
      </c>
      <c r="I122" s="381">
        <f t="shared" si="72"/>
        <v>110950.05529500174</v>
      </c>
      <c r="J122" s="54">
        <f t="shared" si="38"/>
        <v>0</v>
      </c>
      <c r="K122" s="54"/>
      <c r="L122" s="115"/>
      <c r="M122" s="54">
        <f t="shared" si="40"/>
        <v>0</v>
      </c>
      <c r="N122" s="115"/>
      <c r="O122" s="54">
        <f t="shared" si="42"/>
        <v>0</v>
      </c>
      <c r="P122" s="54">
        <f t="shared" si="43"/>
        <v>0</v>
      </c>
    </row>
    <row r="123" spans="2:16">
      <c r="B123" s="7" t="str">
        <f t="shared" si="44"/>
        <v/>
      </c>
      <c r="C123" s="50">
        <f>IF(D93="","-",+C122+1)</f>
        <v>2035</v>
      </c>
      <c r="D123" s="12">
        <f>IF(F122+SUM(E$99:E122)=D$92,F122,D$92-SUM(E$99:E122))</f>
        <v>591294.61999999988</v>
      </c>
      <c r="E123" s="355">
        <f>IF(+J96&lt;F122,J96,D123)</f>
        <v>37949</v>
      </c>
      <c r="F123" s="55">
        <f t="shared" si="69"/>
        <v>553345.61999999988</v>
      </c>
      <c r="G123" s="55">
        <f t="shared" si="70"/>
        <v>572320.11999999988</v>
      </c>
      <c r="H123" s="355">
        <f t="shared" si="71"/>
        <v>106410.55467699567</v>
      </c>
      <c r="I123" s="381">
        <f t="shared" si="72"/>
        <v>106410.55467699567</v>
      </c>
      <c r="J123" s="54">
        <f t="shared" si="38"/>
        <v>0</v>
      </c>
      <c r="K123" s="54"/>
      <c r="L123" s="115"/>
      <c r="M123" s="54">
        <f t="shared" si="40"/>
        <v>0</v>
      </c>
      <c r="N123" s="115"/>
      <c r="O123" s="54">
        <f t="shared" si="42"/>
        <v>0</v>
      </c>
      <c r="P123" s="54">
        <f t="shared" si="43"/>
        <v>0</v>
      </c>
    </row>
    <row r="124" spans="2:16">
      <c r="B124" s="7" t="str">
        <f t="shared" si="44"/>
        <v/>
      </c>
      <c r="C124" s="50">
        <f>IF(D93="","-",+C123+1)</f>
        <v>2036</v>
      </c>
      <c r="D124" s="12">
        <f>IF(F123+SUM(E$99:E123)=D$92,F123,D$92-SUM(E$99:E123))</f>
        <v>553345.61999999988</v>
      </c>
      <c r="E124" s="355">
        <f>IF(+J96&lt;F123,J96,D124)</f>
        <v>37949</v>
      </c>
      <c r="F124" s="55">
        <f t="shared" si="69"/>
        <v>515396.61999999988</v>
      </c>
      <c r="G124" s="55">
        <f t="shared" si="70"/>
        <v>534371.11999999988</v>
      </c>
      <c r="H124" s="355">
        <f t="shared" si="71"/>
        <v>101871.0540589896</v>
      </c>
      <c r="I124" s="381">
        <f t="shared" si="72"/>
        <v>101871.0540589896</v>
      </c>
      <c r="J124" s="54">
        <f t="shared" si="38"/>
        <v>0</v>
      </c>
      <c r="K124" s="54"/>
      <c r="L124" s="115"/>
      <c r="M124" s="54">
        <f t="shared" si="40"/>
        <v>0</v>
      </c>
      <c r="N124" s="115"/>
      <c r="O124" s="54">
        <f t="shared" si="42"/>
        <v>0</v>
      </c>
      <c r="P124" s="54">
        <f t="shared" si="43"/>
        <v>0</v>
      </c>
    </row>
    <row r="125" spans="2:16">
      <c r="B125" s="7" t="str">
        <f t="shared" si="44"/>
        <v/>
      </c>
      <c r="C125" s="50">
        <f>IF(D93="","-",+C124+1)</f>
        <v>2037</v>
      </c>
      <c r="D125" s="12">
        <f>IF(F124+SUM(E$99:E124)=D$92,F124,D$92-SUM(E$99:E124))</f>
        <v>515396.61999999988</v>
      </c>
      <c r="E125" s="355">
        <f>IF(+J96&lt;F124,J96,D125)</f>
        <v>37949</v>
      </c>
      <c r="F125" s="55">
        <f t="shared" si="69"/>
        <v>477447.61999999988</v>
      </c>
      <c r="G125" s="55">
        <f t="shared" si="70"/>
        <v>496422.11999999988</v>
      </c>
      <c r="H125" s="355">
        <f t="shared" si="71"/>
        <v>97331.553440983524</v>
      </c>
      <c r="I125" s="381">
        <f t="shared" si="72"/>
        <v>97331.553440983524</v>
      </c>
      <c r="J125" s="54">
        <f t="shared" si="38"/>
        <v>0</v>
      </c>
      <c r="K125" s="54"/>
      <c r="L125" s="115"/>
      <c r="M125" s="54">
        <f t="shared" si="40"/>
        <v>0</v>
      </c>
      <c r="N125" s="115"/>
      <c r="O125" s="54">
        <f t="shared" si="42"/>
        <v>0</v>
      </c>
      <c r="P125" s="54">
        <f t="shared" si="43"/>
        <v>0</v>
      </c>
    </row>
    <row r="126" spans="2:16">
      <c r="B126" s="7" t="str">
        <f t="shared" si="44"/>
        <v/>
      </c>
      <c r="C126" s="50">
        <f>IF(D93="","-",+C125+1)</f>
        <v>2038</v>
      </c>
      <c r="D126" s="12">
        <f>IF(F125+SUM(E$99:E125)=D$92,F125,D$92-SUM(E$99:E125))</f>
        <v>477447.61999999988</v>
      </c>
      <c r="E126" s="355">
        <f>IF(+J96&lt;F125,J96,D126)</f>
        <v>37949</v>
      </c>
      <c r="F126" s="55">
        <f t="shared" si="69"/>
        <v>439498.61999999988</v>
      </c>
      <c r="G126" s="55">
        <f t="shared" si="70"/>
        <v>458473.11999999988</v>
      </c>
      <c r="H126" s="355">
        <f t="shared" si="71"/>
        <v>92792.05282297745</v>
      </c>
      <c r="I126" s="381">
        <f t="shared" si="72"/>
        <v>92792.05282297745</v>
      </c>
      <c r="J126" s="54">
        <f t="shared" si="38"/>
        <v>0</v>
      </c>
      <c r="K126" s="54"/>
      <c r="L126" s="115"/>
      <c r="M126" s="54">
        <f t="shared" si="40"/>
        <v>0</v>
      </c>
      <c r="N126" s="115"/>
      <c r="O126" s="54">
        <f t="shared" si="42"/>
        <v>0</v>
      </c>
      <c r="P126" s="54">
        <f t="shared" si="43"/>
        <v>0</v>
      </c>
    </row>
    <row r="127" spans="2:16">
      <c r="B127" s="7" t="str">
        <f t="shared" si="44"/>
        <v/>
      </c>
      <c r="C127" s="50">
        <f>IF(D93="","-",+C126+1)</f>
        <v>2039</v>
      </c>
      <c r="D127" s="12">
        <f>IF(F126+SUM(E$99:E126)=D$92,F126,D$92-SUM(E$99:E126))</f>
        <v>439498.61999999988</v>
      </c>
      <c r="E127" s="355">
        <f>IF(+J96&lt;F126,J96,D127)</f>
        <v>37949</v>
      </c>
      <c r="F127" s="55">
        <f t="shared" si="69"/>
        <v>401549.61999999988</v>
      </c>
      <c r="G127" s="55">
        <f t="shared" si="70"/>
        <v>420524.11999999988</v>
      </c>
      <c r="H127" s="355">
        <f t="shared" si="71"/>
        <v>88252.552204971376</v>
      </c>
      <c r="I127" s="381">
        <f t="shared" si="72"/>
        <v>88252.552204971376</v>
      </c>
      <c r="J127" s="54">
        <f t="shared" si="38"/>
        <v>0</v>
      </c>
      <c r="K127" s="54"/>
      <c r="L127" s="115"/>
      <c r="M127" s="54">
        <f t="shared" si="40"/>
        <v>0</v>
      </c>
      <c r="N127" s="115"/>
      <c r="O127" s="54">
        <f t="shared" si="42"/>
        <v>0</v>
      </c>
      <c r="P127" s="54">
        <f t="shared" si="43"/>
        <v>0</v>
      </c>
    </row>
    <row r="128" spans="2:16">
      <c r="B128" s="7" t="str">
        <f t="shared" si="44"/>
        <v/>
      </c>
      <c r="C128" s="50">
        <f>IF(D93="","-",+C127+1)</f>
        <v>2040</v>
      </c>
      <c r="D128" s="12">
        <f>IF(F127+SUM(E$99:E127)=D$92,F127,D$92-SUM(E$99:E127))</f>
        <v>401549.61999999988</v>
      </c>
      <c r="E128" s="355">
        <f>IF(+J96&lt;F127,J96,D128)</f>
        <v>37949</v>
      </c>
      <c r="F128" s="55">
        <f t="shared" si="69"/>
        <v>363600.61999999988</v>
      </c>
      <c r="G128" s="55">
        <f t="shared" si="70"/>
        <v>382575.11999999988</v>
      </c>
      <c r="H128" s="355">
        <f t="shared" si="71"/>
        <v>83713.051586965303</v>
      </c>
      <c r="I128" s="381">
        <f t="shared" si="72"/>
        <v>83713.051586965303</v>
      </c>
      <c r="J128" s="54">
        <f t="shared" si="38"/>
        <v>0</v>
      </c>
      <c r="K128" s="54"/>
      <c r="L128" s="115"/>
      <c r="M128" s="54">
        <f t="shared" si="40"/>
        <v>0</v>
      </c>
      <c r="N128" s="115"/>
      <c r="O128" s="54">
        <f t="shared" si="42"/>
        <v>0</v>
      </c>
      <c r="P128" s="54">
        <f t="shared" si="43"/>
        <v>0</v>
      </c>
    </row>
    <row r="129" spans="2:16">
      <c r="B129" s="7" t="str">
        <f t="shared" si="44"/>
        <v/>
      </c>
      <c r="C129" s="50">
        <f>IF(D93="","-",+C128+1)</f>
        <v>2041</v>
      </c>
      <c r="D129" s="12">
        <f>IF(F128+SUM(E$99:E128)=D$92,F128,D$92-SUM(E$99:E128))</f>
        <v>363600.61999999988</v>
      </c>
      <c r="E129" s="355">
        <f t="shared" ref="E129:E154" si="73">IF(+J$96&lt;F128,J$96,D129)</f>
        <v>37949</v>
      </c>
      <c r="F129" s="55">
        <f t="shared" si="69"/>
        <v>325651.61999999988</v>
      </c>
      <c r="G129" s="55">
        <f t="shared" si="70"/>
        <v>344626.11999999988</v>
      </c>
      <c r="H129" s="355">
        <f t="shared" si="71"/>
        <v>79173.550968959229</v>
      </c>
      <c r="I129" s="381">
        <f t="shared" si="72"/>
        <v>79173.550968959229</v>
      </c>
      <c r="J129" s="54">
        <f t="shared" si="38"/>
        <v>0</v>
      </c>
      <c r="K129" s="54"/>
      <c r="L129" s="115"/>
      <c r="M129" s="54">
        <f t="shared" si="40"/>
        <v>0</v>
      </c>
      <c r="N129" s="115"/>
      <c r="O129" s="54">
        <f t="shared" si="42"/>
        <v>0</v>
      </c>
      <c r="P129" s="54">
        <f t="shared" si="43"/>
        <v>0</v>
      </c>
    </row>
    <row r="130" spans="2:16">
      <c r="B130" s="7" t="str">
        <f t="shared" si="44"/>
        <v/>
      </c>
      <c r="C130" s="50">
        <f>IF(D93="","-",+C129+1)</f>
        <v>2042</v>
      </c>
      <c r="D130" s="12">
        <f>IF(F129+SUM(E$99:E129)=D$92,F129,D$92-SUM(E$99:E129))</f>
        <v>325651.61999999988</v>
      </c>
      <c r="E130" s="355">
        <f t="shared" si="73"/>
        <v>37949</v>
      </c>
      <c r="F130" s="55">
        <f t="shared" si="69"/>
        <v>287702.61999999988</v>
      </c>
      <c r="G130" s="55">
        <f t="shared" si="70"/>
        <v>306677.11999999988</v>
      </c>
      <c r="H130" s="355">
        <f t="shared" si="71"/>
        <v>74634.05035095317</v>
      </c>
      <c r="I130" s="381">
        <f t="shared" si="72"/>
        <v>74634.05035095317</v>
      </c>
      <c r="J130" s="54">
        <f t="shared" si="38"/>
        <v>0</v>
      </c>
      <c r="K130" s="54"/>
      <c r="L130" s="115"/>
      <c r="M130" s="54">
        <f t="shared" si="40"/>
        <v>0</v>
      </c>
      <c r="N130" s="115"/>
      <c r="O130" s="54">
        <f t="shared" si="42"/>
        <v>0</v>
      </c>
      <c r="P130" s="54">
        <f t="shared" si="43"/>
        <v>0</v>
      </c>
    </row>
    <row r="131" spans="2:16">
      <c r="B131" s="7" t="str">
        <f t="shared" si="44"/>
        <v/>
      </c>
      <c r="C131" s="50">
        <f>IF(D93="","-",+C130+1)</f>
        <v>2043</v>
      </c>
      <c r="D131" s="12">
        <f>IF(F130+SUM(E$99:E130)=D$92,F130,D$92-SUM(E$99:E130))</f>
        <v>287702.61999999988</v>
      </c>
      <c r="E131" s="355">
        <f t="shared" si="73"/>
        <v>37949</v>
      </c>
      <c r="F131" s="55">
        <f t="shared" ref="F131:F154" si="74">+D131-E131</f>
        <v>249753.61999999988</v>
      </c>
      <c r="G131" s="55">
        <f t="shared" ref="G131:G154" si="75">+(F131+D131)/2</f>
        <v>268728.11999999988</v>
      </c>
      <c r="H131" s="355">
        <f t="shared" si="71"/>
        <v>70094.549732947096</v>
      </c>
      <c r="I131" s="381">
        <f t="shared" si="72"/>
        <v>70094.549732947096</v>
      </c>
      <c r="J131" s="54">
        <f t="shared" ref="J131:J154" si="76">+I541-H541</f>
        <v>0</v>
      </c>
      <c r="K131" s="54"/>
      <c r="L131" s="115"/>
      <c r="M131" s="54">
        <f t="shared" ref="M131:M154" si="77">IF(L541&lt;&gt;0,+H541-L541,0)</f>
        <v>0</v>
      </c>
      <c r="N131" s="115"/>
      <c r="O131" s="54">
        <f t="shared" ref="O131:O154" si="78">IF(N541&lt;&gt;0,+I541-N541,0)</f>
        <v>0</v>
      </c>
      <c r="P131" s="54">
        <f t="shared" ref="P131:P154" si="79">+O541-M541</f>
        <v>0</v>
      </c>
    </row>
    <row r="132" spans="2:16">
      <c r="B132" s="7" t="str">
        <f t="shared" ref="B132:B154" si="80">IF(D132=F131,"","IU")</f>
        <v/>
      </c>
      <c r="C132" s="50">
        <f>IF(D93="","-",+C131+1)</f>
        <v>2044</v>
      </c>
      <c r="D132" s="12">
        <f>IF(F131+SUM(E$99:E131)=D$92,F131,D$92-SUM(E$99:E131))</f>
        <v>249753.61999999988</v>
      </c>
      <c r="E132" s="355">
        <f t="shared" si="73"/>
        <v>37949</v>
      </c>
      <c r="F132" s="55">
        <f t="shared" si="74"/>
        <v>211804.61999999988</v>
      </c>
      <c r="G132" s="55">
        <f t="shared" si="75"/>
        <v>230779.11999999988</v>
      </c>
      <c r="H132" s="355">
        <f t="shared" si="71"/>
        <v>65555.049114941023</v>
      </c>
      <c r="I132" s="381">
        <f t="shared" si="72"/>
        <v>65555.049114941023</v>
      </c>
      <c r="J132" s="54">
        <f t="shared" si="76"/>
        <v>0</v>
      </c>
      <c r="K132" s="54"/>
      <c r="L132" s="115"/>
      <c r="M132" s="54">
        <f t="shared" si="77"/>
        <v>0</v>
      </c>
      <c r="N132" s="115"/>
      <c r="O132" s="54">
        <f t="shared" si="78"/>
        <v>0</v>
      </c>
      <c r="P132" s="54">
        <f t="shared" si="79"/>
        <v>0</v>
      </c>
    </row>
    <row r="133" spans="2:16">
      <c r="B133" s="7" t="str">
        <f t="shared" si="80"/>
        <v/>
      </c>
      <c r="C133" s="50">
        <f>IF(D93="","-",+C132+1)</f>
        <v>2045</v>
      </c>
      <c r="D133" s="12">
        <f>IF(F132+SUM(E$99:E132)=D$92,F132,D$92-SUM(E$99:E132))</f>
        <v>211804.61999999988</v>
      </c>
      <c r="E133" s="355">
        <f t="shared" si="73"/>
        <v>37949</v>
      </c>
      <c r="F133" s="55">
        <f t="shared" si="74"/>
        <v>173855.61999999988</v>
      </c>
      <c r="G133" s="55">
        <f t="shared" si="75"/>
        <v>192830.11999999988</v>
      </c>
      <c r="H133" s="355">
        <f t="shared" si="71"/>
        <v>61015.548496934949</v>
      </c>
      <c r="I133" s="381">
        <f t="shared" si="72"/>
        <v>61015.548496934949</v>
      </c>
      <c r="J133" s="54">
        <f t="shared" si="76"/>
        <v>0</v>
      </c>
      <c r="K133" s="54"/>
      <c r="L133" s="115"/>
      <c r="M133" s="54">
        <f t="shared" si="77"/>
        <v>0</v>
      </c>
      <c r="N133" s="115"/>
      <c r="O133" s="54">
        <f t="shared" si="78"/>
        <v>0</v>
      </c>
      <c r="P133" s="54">
        <f t="shared" si="79"/>
        <v>0</v>
      </c>
    </row>
    <row r="134" spans="2:16">
      <c r="B134" s="7" t="str">
        <f t="shared" si="80"/>
        <v/>
      </c>
      <c r="C134" s="50">
        <f>IF(D93="","-",+C133+1)</f>
        <v>2046</v>
      </c>
      <c r="D134" s="12">
        <f>IF(F133+SUM(E$99:E133)=D$92,F133,D$92-SUM(E$99:E133))</f>
        <v>173855.61999999988</v>
      </c>
      <c r="E134" s="355">
        <f t="shared" si="73"/>
        <v>37949</v>
      </c>
      <c r="F134" s="55">
        <f t="shared" si="74"/>
        <v>135906.61999999988</v>
      </c>
      <c r="G134" s="55">
        <f t="shared" si="75"/>
        <v>154881.11999999988</v>
      </c>
      <c r="H134" s="355">
        <f t="shared" si="71"/>
        <v>56476.047878928875</v>
      </c>
      <c r="I134" s="381">
        <f t="shared" si="72"/>
        <v>56476.047878928875</v>
      </c>
      <c r="J134" s="54">
        <f t="shared" si="76"/>
        <v>0</v>
      </c>
      <c r="K134" s="54"/>
      <c r="L134" s="115"/>
      <c r="M134" s="54">
        <f t="shared" si="77"/>
        <v>0</v>
      </c>
      <c r="N134" s="115"/>
      <c r="O134" s="54">
        <f t="shared" si="78"/>
        <v>0</v>
      </c>
      <c r="P134" s="54">
        <f t="shared" si="79"/>
        <v>0</v>
      </c>
    </row>
    <row r="135" spans="2:16">
      <c r="B135" s="7" t="str">
        <f t="shared" si="80"/>
        <v/>
      </c>
      <c r="C135" s="50">
        <f>IF(D93="","-",+C134+1)</f>
        <v>2047</v>
      </c>
      <c r="D135" s="12">
        <f>IF(F134+SUM(E$99:E134)=D$92,F134,D$92-SUM(E$99:E134))</f>
        <v>135906.61999999988</v>
      </c>
      <c r="E135" s="355">
        <f t="shared" si="73"/>
        <v>37949</v>
      </c>
      <c r="F135" s="55">
        <f t="shared" si="74"/>
        <v>97957.619999999879</v>
      </c>
      <c r="G135" s="55">
        <f t="shared" si="75"/>
        <v>116932.11999999988</v>
      </c>
      <c r="H135" s="355">
        <f t="shared" si="71"/>
        <v>51936.547260922809</v>
      </c>
      <c r="I135" s="381">
        <f t="shared" si="72"/>
        <v>51936.547260922809</v>
      </c>
      <c r="J135" s="54">
        <f t="shared" si="76"/>
        <v>0</v>
      </c>
      <c r="K135" s="54"/>
      <c r="L135" s="115"/>
      <c r="M135" s="54">
        <f t="shared" si="77"/>
        <v>0</v>
      </c>
      <c r="N135" s="115"/>
      <c r="O135" s="54">
        <f t="shared" si="78"/>
        <v>0</v>
      </c>
      <c r="P135" s="54">
        <f t="shared" si="79"/>
        <v>0</v>
      </c>
    </row>
    <row r="136" spans="2:16">
      <c r="B136" s="7" t="str">
        <f t="shared" si="80"/>
        <v/>
      </c>
      <c r="C136" s="50">
        <f>IF(D93="","-",+C135+1)</f>
        <v>2048</v>
      </c>
      <c r="D136" s="12">
        <f>IF(F135+SUM(E$99:E135)=D$92,F135,D$92-SUM(E$99:E135))</f>
        <v>97957.619999999879</v>
      </c>
      <c r="E136" s="355">
        <f t="shared" si="73"/>
        <v>37949</v>
      </c>
      <c r="F136" s="55">
        <f t="shared" si="74"/>
        <v>60008.619999999879</v>
      </c>
      <c r="G136" s="55">
        <f t="shared" si="75"/>
        <v>78983.119999999879</v>
      </c>
      <c r="H136" s="355">
        <f t="shared" si="71"/>
        <v>47397.046642916735</v>
      </c>
      <c r="I136" s="381">
        <f t="shared" si="72"/>
        <v>47397.046642916735</v>
      </c>
      <c r="J136" s="54">
        <f t="shared" si="76"/>
        <v>0</v>
      </c>
      <c r="K136" s="54"/>
      <c r="L136" s="115"/>
      <c r="M136" s="54">
        <f t="shared" si="77"/>
        <v>0</v>
      </c>
      <c r="N136" s="115"/>
      <c r="O136" s="54">
        <f t="shared" si="78"/>
        <v>0</v>
      </c>
      <c r="P136" s="54">
        <f t="shared" si="79"/>
        <v>0</v>
      </c>
    </row>
    <row r="137" spans="2:16">
      <c r="B137" s="7" t="str">
        <f t="shared" si="80"/>
        <v/>
      </c>
      <c r="C137" s="50">
        <f>IF(D93="","-",+C136+1)</f>
        <v>2049</v>
      </c>
      <c r="D137" s="12">
        <f>IF(F136+SUM(E$99:E136)=D$92,F136,D$92-SUM(E$99:E136))</f>
        <v>60008.619999999879</v>
      </c>
      <c r="E137" s="355">
        <f t="shared" si="73"/>
        <v>37949</v>
      </c>
      <c r="F137" s="55">
        <f t="shared" si="74"/>
        <v>22059.619999999879</v>
      </c>
      <c r="G137" s="55">
        <f t="shared" si="75"/>
        <v>41034.119999999879</v>
      </c>
      <c r="H137" s="355">
        <f t="shared" si="71"/>
        <v>42857.546024910662</v>
      </c>
      <c r="I137" s="381">
        <f t="shared" si="72"/>
        <v>42857.546024910662</v>
      </c>
      <c r="J137" s="54">
        <f t="shared" si="76"/>
        <v>0</v>
      </c>
      <c r="K137" s="54"/>
      <c r="L137" s="115"/>
      <c r="M137" s="54">
        <f t="shared" si="77"/>
        <v>0</v>
      </c>
      <c r="N137" s="115"/>
      <c r="O137" s="54">
        <f t="shared" si="78"/>
        <v>0</v>
      </c>
      <c r="P137" s="54">
        <f t="shared" si="79"/>
        <v>0</v>
      </c>
    </row>
    <row r="138" spans="2:16">
      <c r="B138" s="7" t="str">
        <f t="shared" si="80"/>
        <v/>
      </c>
      <c r="C138" s="50">
        <f>IF(D93="","-",+C137+1)</f>
        <v>2050</v>
      </c>
      <c r="D138" s="12">
        <f>IF(F137+SUM(E$99:E137)=D$92,F137,D$92-SUM(E$99:E137))</f>
        <v>22059.619999999879</v>
      </c>
      <c r="E138" s="355">
        <f t="shared" si="73"/>
        <v>22059.619999999879</v>
      </c>
      <c r="F138" s="55">
        <f t="shared" si="74"/>
        <v>0</v>
      </c>
      <c r="G138" s="55">
        <f t="shared" si="75"/>
        <v>11029.809999999939</v>
      </c>
      <c r="H138" s="355">
        <f t="shared" si="71"/>
        <v>23379.017857953691</v>
      </c>
      <c r="I138" s="381">
        <f t="shared" si="72"/>
        <v>23379.017857953691</v>
      </c>
      <c r="J138" s="54">
        <f t="shared" si="76"/>
        <v>0</v>
      </c>
      <c r="K138" s="54"/>
      <c r="L138" s="115"/>
      <c r="M138" s="54">
        <f t="shared" si="77"/>
        <v>0</v>
      </c>
      <c r="N138" s="115"/>
      <c r="O138" s="54">
        <f t="shared" si="78"/>
        <v>0</v>
      </c>
      <c r="P138" s="54">
        <f t="shared" si="79"/>
        <v>0</v>
      </c>
    </row>
    <row r="139" spans="2:16">
      <c r="B139" s="7" t="str">
        <f t="shared" si="80"/>
        <v/>
      </c>
      <c r="C139" s="50">
        <f>IF(D93="","-",+C138+1)</f>
        <v>2051</v>
      </c>
      <c r="D139" s="12">
        <f>IF(F138+SUM(E$99:E138)=D$92,F138,D$92-SUM(E$99:E138))</f>
        <v>0</v>
      </c>
      <c r="E139" s="355">
        <f t="shared" si="73"/>
        <v>0</v>
      </c>
      <c r="F139" s="55">
        <f t="shared" si="74"/>
        <v>0</v>
      </c>
      <c r="G139" s="55">
        <f t="shared" si="75"/>
        <v>0</v>
      </c>
      <c r="H139" s="355">
        <f t="shared" si="71"/>
        <v>0</v>
      </c>
      <c r="I139" s="381">
        <f t="shared" si="72"/>
        <v>0</v>
      </c>
      <c r="J139" s="54">
        <f t="shared" si="76"/>
        <v>0</v>
      </c>
      <c r="K139" s="54"/>
      <c r="L139" s="115"/>
      <c r="M139" s="54">
        <f t="shared" si="77"/>
        <v>0</v>
      </c>
      <c r="N139" s="115"/>
      <c r="O139" s="54">
        <f t="shared" si="78"/>
        <v>0</v>
      </c>
      <c r="P139" s="54">
        <f t="shared" si="79"/>
        <v>0</v>
      </c>
    </row>
    <row r="140" spans="2:16">
      <c r="B140" s="7" t="str">
        <f t="shared" si="80"/>
        <v/>
      </c>
      <c r="C140" s="50">
        <f>IF(D93="","-",+C139+1)</f>
        <v>2052</v>
      </c>
      <c r="D140" s="12">
        <f>IF(F139+SUM(E$99:E139)=D$92,F139,D$92-SUM(E$99:E139))</f>
        <v>0</v>
      </c>
      <c r="E140" s="355">
        <f t="shared" si="73"/>
        <v>0</v>
      </c>
      <c r="F140" s="55">
        <f t="shared" si="74"/>
        <v>0</v>
      </c>
      <c r="G140" s="55">
        <f t="shared" si="75"/>
        <v>0</v>
      </c>
      <c r="H140" s="355">
        <f t="shared" si="71"/>
        <v>0</v>
      </c>
      <c r="I140" s="381">
        <f t="shared" si="72"/>
        <v>0</v>
      </c>
      <c r="J140" s="54">
        <f t="shared" si="76"/>
        <v>0</v>
      </c>
      <c r="K140" s="54"/>
      <c r="L140" s="115"/>
      <c r="M140" s="54">
        <f t="shared" si="77"/>
        <v>0</v>
      </c>
      <c r="N140" s="115"/>
      <c r="O140" s="54">
        <f t="shared" si="78"/>
        <v>0</v>
      </c>
      <c r="P140" s="54">
        <f t="shared" si="79"/>
        <v>0</v>
      </c>
    </row>
    <row r="141" spans="2:16">
      <c r="B141" s="7" t="str">
        <f t="shared" si="80"/>
        <v/>
      </c>
      <c r="C141" s="50">
        <f>IF(D93="","-",+C140+1)</f>
        <v>2053</v>
      </c>
      <c r="D141" s="12">
        <f>IF(F140+SUM(E$99:E140)=D$92,F140,D$92-SUM(E$99:E140))</f>
        <v>0</v>
      </c>
      <c r="E141" s="355">
        <f t="shared" si="73"/>
        <v>0</v>
      </c>
      <c r="F141" s="55">
        <f t="shared" si="74"/>
        <v>0</v>
      </c>
      <c r="G141" s="55">
        <f t="shared" si="75"/>
        <v>0</v>
      </c>
      <c r="H141" s="355">
        <f t="shared" si="71"/>
        <v>0</v>
      </c>
      <c r="I141" s="381">
        <f t="shared" si="72"/>
        <v>0</v>
      </c>
      <c r="J141" s="54">
        <f t="shared" si="76"/>
        <v>0</v>
      </c>
      <c r="K141" s="54"/>
      <c r="L141" s="115"/>
      <c r="M141" s="54">
        <f t="shared" si="77"/>
        <v>0</v>
      </c>
      <c r="N141" s="115"/>
      <c r="O141" s="54">
        <f t="shared" si="78"/>
        <v>0</v>
      </c>
      <c r="P141" s="54">
        <f t="shared" si="79"/>
        <v>0</v>
      </c>
    </row>
    <row r="142" spans="2:16">
      <c r="B142" s="7" t="str">
        <f t="shared" si="80"/>
        <v/>
      </c>
      <c r="C142" s="50">
        <f>IF(D93="","-",+C141+1)</f>
        <v>2054</v>
      </c>
      <c r="D142" s="12">
        <f>IF(F141+SUM(E$99:E141)=D$92,F141,D$92-SUM(E$99:E141))</f>
        <v>0</v>
      </c>
      <c r="E142" s="355">
        <f t="shared" si="73"/>
        <v>0</v>
      </c>
      <c r="F142" s="55">
        <f t="shared" si="74"/>
        <v>0</v>
      </c>
      <c r="G142" s="55">
        <f t="shared" si="75"/>
        <v>0</v>
      </c>
      <c r="H142" s="355">
        <f t="shared" si="71"/>
        <v>0</v>
      </c>
      <c r="I142" s="381">
        <f t="shared" si="72"/>
        <v>0</v>
      </c>
      <c r="J142" s="54">
        <f t="shared" si="76"/>
        <v>0</v>
      </c>
      <c r="K142" s="54"/>
      <c r="L142" s="115"/>
      <c r="M142" s="54">
        <f t="shared" si="77"/>
        <v>0</v>
      </c>
      <c r="N142" s="115"/>
      <c r="O142" s="54">
        <f t="shared" si="78"/>
        <v>0</v>
      </c>
      <c r="P142" s="54">
        <f t="shared" si="79"/>
        <v>0</v>
      </c>
    </row>
    <row r="143" spans="2:16">
      <c r="B143" s="7" t="str">
        <f t="shared" si="80"/>
        <v/>
      </c>
      <c r="C143" s="50">
        <f>IF(D93="","-",+C142+1)</f>
        <v>2055</v>
      </c>
      <c r="D143" s="12">
        <f>IF(F142+SUM(E$99:E142)=D$92,F142,D$92-SUM(E$99:E142))</f>
        <v>0</v>
      </c>
      <c r="E143" s="355">
        <f t="shared" si="73"/>
        <v>0</v>
      </c>
      <c r="F143" s="55">
        <f t="shared" si="74"/>
        <v>0</v>
      </c>
      <c r="G143" s="55">
        <f t="shared" si="75"/>
        <v>0</v>
      </c>
      <c r="H143" s="355">
        <f t="shared" si="71"/>
        <v>0</v>
      </c>
      <c r="I143" s="381">
        <f t="shared" si="72"/>
        <v>0</v>
      </c>
      <c r="J143" s="54">
        <f t="shared" si="76"/>
        <v>0</v>
      </c>
      <c r="K143" s="54"/>
      <c r="L143" s="115"/>
      <c r="M143" s="54">
        <f t="shared" si="77"/>
        <v>0</v>
      </c>
      <c r="N143" s="115"/>
      <c r="O143" s="54">
        <f t="shared" si="78"/>
        <v>0</v>
      </c>
      <c r="P143" s="54">
        <f t="shared" si="79"/>
        <v>0</v>
      </c>
    </row>
    <row r="144" spans="2:16">
      <c r="B144" s="7" t="str">
        <f t="shared" si="80"/>
        <v/>
      </c>
      <c r="C144" s="50">
        <f>IF(D93="","-",+C143+1)</f>
        <v>2056</v>
      </c>
      <c r="D144" s="12">
        <f>IF(F143+SUM(E$99:E143)=D$92,F143,D$92-SUM(E$99:E143))</f>
        <v>0</v>
      </c>
      <c r="E144" s="355">
        <f t="shared" si="73"/>
        <v>0</v>
      </c>
      <c r="F144" s="55">
        <f t="shared" si="74"/>
        <v>0</v>
      </c>
      <c r="G144" s="55">
        <f t="shared" si="75"/>
        <v>0</v>
      </c>
      <c r="H144" s="355">
        <f t="shared" si="71"/>
        <v>0</v>
      </c>
      <c r="I144" s="381">
        <f t="shared" si="72"/>
        <v>0</v>
      </c>
      <c r="J144" s="54">
        <f t="shared" si="76"/>
        <v>0</v>
      </c>
      <c r="K144" s="54"/>
      <c r="L144" s="115"/>
      <c r="M144" s="54">
        <f t="shared" si="77"/>
        <v>0</v>
      </c>
      <c r="N144" s="115"/>
      <c r="O144" s="54">
        <f t="shared" si="78"/>
        <v>0</v>
      </c>
      <c r="P144" s="54">
        <f t="shared" si="79"/>
        <v>0</v>
      </c>
    </row>
    <row r="145" spans="2:16">
      <c r="B145" s="7" t="str">
        <f t="shared" si="80"/>
        <v/>
      </c>
      <c r="C145" s="50">
        <f>IF(D93="","-",+C144+1)</f>
        <v>2057</v>
      </c>
      <c r="D145" s="12">
        <f>IF(F144+SUM(E$99:E144)=D$92,F144,D$92-SUM(E$99:E144))</f>
        <v>0</v>
      </c>
      <c r="E145" s="355">
        <f t="shared" si="73"/>
        <v>0</v>
      </c>
      <c r="F145" s="55">
        <f t="shared" si="74"/>
        <v>0</v>
      </c>
      <c r="G145" s="55">
        <f t="shared" si="75"/>
        <v>0</v>
      </c>
      <c r="H145" s="355">
        <f t="shared" si="71"/>
        <v>0</v>
      </c>
      <c r="I145" s="381">
        <f t="shared" si="72"/>
        <v>0</v>
      </c>
      <c r="J145" s="54">
        <f t="shared" si="76"/>
        <v>0</v>
      </c>
      <c r="K145" s="54"/>
      <c r="L145" s="115"/>
      <c r="M145" s="54">
        <f t="shared" si="77"/>
        <v>0</v>
      </c>
      <c r="N145" s="115"/>
      <c r="O145" s="54">
        <f t="shared" si="78"/>
        <v>0</v>
      </c>
      <c r="P145" s="54">
        <f t="shared" si="79"/>
        <v>0</v>
      </c>
    </row>
    <row r="146" spans="2:16">
      <c r="B146" s="7" t="str">
        <f t="shared" si="80"/>
        <v/>
      </c>
      <c r="C146" s="50">
        <f>IF(D93="","-",+C145+1)</f>
        <v>2058</v>
      </c>
      <c r="D146" s="12">
        <f>IF(F145+SUM(E$99:E145)=D$92,F145,D$92-SUM(E$99:E145))</f>
        <v>0</v>
      </c>
      <c r="E146" s="355">
        <f t="shared" si="73"/>
        <v>0</v>
      </c>
      <c r="F146" s="55">
        <f t="shared" si="74"/>
        <v>0</v>
      </c>
      <c r="G146" s="55">
        <f t="shared" si="75"/>
        <v>0</v>
      </c>
      <c r="H146" s="355">
        <f t="shared" si="71"/>
        <v>0</v>
      </c>
      <c r="I146" s="381">
        <f t="shared" si="72"/>
        <v>0</v>
      </c>
      <c r="J146" s="54">
        <f t="shared" si="76"/>
        <v>0</v>
      </c>
      <c r="K146" s="54"/>
      <c r="L146" s="115"/>
      <c r="M146" s="54">
        <f t="shared" si="77"/>
        <v>0</v>
      </c>
      <c r="N146" s="115"/>
      <c r="O146" s="54">
        <f t="shared" si="78"/>
        <v>0</v>
      </c>
      <c r="P146" s="54">
        <f t="shared" si="79"/>
        <v>0</v>
      </c>
    </row>
    <row r="147" spans="2:16">
      <c r="B147" s="7" t="str">
        <f t="shared" si="80"/>
        <v/>
      </c>
      <c r="C147" s="50">
        <f>IF(D93="","-",+C146+1)</f>
        <v>2059</v>
      </c>
      <c r="D147" s="12">
        <f>IF(F146+SUM(E$99:E146)=D$92,F146,D$92-SUM(E$99:E146))</f>
        <v>0</v>
      </c>
      <c r="E147" s="355">
        <f t="shared" si="73"/>
        <v>0</v>
      </c>
      <c r="F147" s="55">
        <f t="shared" si="74"/>
        <v>0</v>
      </c>
      <c r="G147" s="55">
        <f t="shared" si="75"/>
        <v>0</v>
      </c>
      <c r="H147" s="355">
        <f t="shared" si="71"/>
        <v>0</v>
      </c>
      <c r="I147" s="381">
        <f t="shared" si="72"/>
        <v>0</v>
      </c>
      <c r="J147" s="54">
        <f t="shared" si="76"/>
        <v>0</v>
      </c>
      <c r="K147" s="54"/>
      <c r="L147" s="115"/>
      <c r="M147" s="54">
        <f t="shared" si="77"/>
        <v>0</v>
      </c>
      <c r="N147" s="115"/>
      <c r="O147" s="54">
        <f t="shared" si="78"/>
        <v>0</v>
      </c>
      <c r="P147" s="54">
        <f t="shared" si="79"/>
        <v>0</v>
      </c>
    </row>
    <row r="148" spans="2:16">
      <c r="B148" s="7" t="str">
        <f t="shared" si="80"/>
        <v/>
      </c>
      <c r="C148" s="50">
        <f>IF(D93="","-",+C147+1)</f>
        <v>2060</v>
      </c>
      <c r="D148" s="12">
        <f>IF(F147+SUM(E$99:E147)=D$92,F147,D$92-SUM(E$99:E147))</f>
        <v>0</v>
      </c>
      <c r="E148" s="355">
        <f t="shared" si="73"/>
        <v>0</v>
      </c>
      <c r="F148" s="55">
        <f t="shared" si="74"/>
        <v>0</v>
      </c>
      <c r="G148" s="55">
        <f t="shared" si="75"/>
        <v>0</v>
      </c>
      <c r="H148" s="355">
        <f t="shared" si="71"/>
        <v>0</v>
      </c>
      <c r="I148" s="381">
        <f t="shared" si="72"/>
        <v>0</v>
      </c>
      <c r="J148" s="54">
        <f t="shared" si="76"/>
        <v>0</v>
      </c>
      <c r="K148" s="54"/>
      <c r="L148" s="115"/>
      <c r="M148" s="54">
        <f t="shared" si="77"/>
        <v>0</v>
      </c>
      <c r="N148" s="115"/>
      <c r="O148" s="54">
        <f t="shared" si="78"/>
        <v>0</v>
      </c>
      <c r="P148" s="54">
        <f t="shared" si="79"/>
        <v>0</v>
      </c>
    </row>
    <row r="149" spans="2:16">
      <c r="B149" s="7" t="str">
        <f t="shared" si="80"/>
        <v/>
      </c>
      <c r="C149" s="50">
        <f>IF(D93="","-",+C148+1)</f>
        <v>2061</v>
      </c>
      <c r="D149" s="12">
        <f>IF(F148+SUM(E$99:E148)=D$92,F148,D$92-SUM(E$99:E148))</f>
        <v>0</v>
      </c>
      <c r="E149" s="355">
        <f t="shared" si="73"/>
        <v>0</v>
      </c>
      <c r="F149" s="55">
        <f t="shared" si="74"/>
        <v>0</v>
      </c>
      <c r="G149" s="55">
        <f t="shared" si="75"/>
        <v>0</v>
      </c>
      <c r="H149" s="355">
        <f t="shared" si="71"/>
        <v>0</v>
      </c>
      <c r="I149" s="381">
        <f t="shared" si="72"/>
        <v>0</v>
      </c>
      <c r="J149" s="54">
        <f t="shared" si="76"/>
        <v>0</v>
      </c>
      <c r="K149" s="54"/>
      <c r="L149" s="115"/>
      <c r="M149" s="54">
        <f t="shared" si="77"/>
        <v>0</v>
      </c>
      <c r="N149" s="115"/>
      <c r="O149" s="54">
        <f t="shared" si="78"/>
        <v>0</v>
      </c>
      <c r="P149" s="54">
        <f t="shared" si="79"/>
        <v>0</v>
      </c>
    </row>
    <row r="150" spans="2:16">
      <c r="B150" s="7" t="str">
        <f t="shared" si="80"/>
        <v/>
      </c>
      <c r="C150" s="50">
        <f>IF(D93="","-",+C149+1)</f>
        <v>2062</v>
      </c>
      <c r="D150" s="12">
        <f>IF(F149+SUM(E$99:E149)=D$92,F149,D$92-SUM(E$99:E149))</f>
        <v>0</v>
      </c>
      <c r="E150" s="355">
        <f t="shared" si="73"/>
        <v>0</v>
      </c>
      <c r="F150" s="55">
        <f t="shared" si="74"/>
        <v>0</v>
      </c>
      <c r="G150" s="55">
        <f t="shared" si="75"/>
        <v>0</v>
      </c>
      <c r="H150" s="355">
        <f t="shared" si="71"/>
        <v>0</v>
      </c>
      <c r="I150" s="381">
        <f t="shared" si="72"/>
        <v>0</v>
      </c>
      <c r="J150" s="54">
        <f t="shared" si="76"/>
        <v>0</v>
      </c>
      <c r="K150" s="54"/>
      <c r="L150" s="115"/>
      <c r="M150" s="54">
        <f t="shared" si="77"/>
        <v>0</v>
      </c>
      <c r="N150" s="115"/>
      <c r="O150" s="54">
        <f t="shared" si="78"/>
        <v>0</v>
      </c>
      <c r="P150" s="54">
        <f t="shared" si="79"/>
        <v>0</v>
      </c>
    </row>
    <row r="151" spans="2:16">
      <c r="B151" s="7" t="str">
        <f t="shared" si="80"/>
        <v/>
      </c>
      <c r="C151" s="50">
        <f>IF(D93="","-",+C150+1)</f>
        <v>2063</v>
      </c>
      <c r="D151" s="12">
        <f>IF(F150+SUM(E$99:E150)=D$92,F150,D$92-SUM(E$99:E150))</f>
        <v>0</v>
      </c>
      <c r="E151" s="355">
        <f t="shared" si="73"/>
        <v>0</v>
      </c>
      <c r="F151" s="55">
        <f t="shared" si="74"/>
        <v>0</v>
      </c>
      <c r="G151" s="55">
        <f t="shared" si="75"/>
        <v>0</v>
      </c>
      <c r="H151" s="355">
        <f t="shared" si="71"/>
        <v>0</v>
      </c>
      <c r="I151" s="381">
        <f t="shared" si="72"/>
        <v>0</v>
      </c>
      <c r="J151" s="54">
        <f t="shared" si="76"/>
        <v>0</v>
      </c>
      <c r="K151" s="54"/>
      <c r="L151" s="115"/>
      <c r="M151" s="54">
        <f t="shared" si="77"/>
        <v>0</v>
      </c>
      <c r="N151" s="115"/>
      <c r="O151" s="54">
        <f t="shared" si="78"/>
        <v>0</v>
      </c>
      <c r="P151" s="54">
        <f t="shared" si="79"/>
        <v>0</v>
      </c>
    </row>
    <row r="152" spans="2:16">
      <c r="B152" s="7" t="str">
        <f t="shared" si="80"/>
        <v/>
      </c>
      <c r="C152" s="50">
        <f>IF(D93="","-",+C151+1)</f>
        <v>2064</v>
      </c>
      <c r="D152" s="12">
        <f>IF(F151+SUM(E$99:E151)=D$92,F151,D$92-SUM(E$99:E151))</f>
        <v>0</v>
      </c>
      <c r="E152" s="355">
        <f t="shared" si="73"/>
        <v>0</v>
      </c>
      <c r="F152" s="55">
        <f t="shared" si="74"/>
        <v>0</v>
      </c>
      <c r="G152" s="55">
        <f t="shared" si="75"/>
        <v>0</v>
      </c>
      <c r="H152" s="355">
        <f t="shared" si="71"/>
        <v>0</v>
      </c>
      <c r="I152" s="381">
        <f t="shared" si="72"/>
        <v>0</v>
      </c>
      <c r="J152" s="54">
        <f t="shared" si="76"/>
        <v>0</v>
      </c>
      <c r="K152" s="54"/>
      <c r="L152" s="115"/>
      <c r="M152" s="54">
        <f t="shared" si="77"/>
        <v>0</v>
      </c>
      <c r="N152" s="115"/>
      <c r="O152" s="54">
        <f t="shared" si="78"/>
        <v>0</v>
      </c>
      <c r="P152" s="54">
        <f t="shared" si="79"/>
        <v>0</v>
      </c>
    </row>
    <row r="153" spans="2:16">
      <c r="B153" s="7" t="str">
        <f t="shared" si="80"/>
        <v/>
      </c>
      <c r="C153" s="50">
        <f>IF(D93="","-",+C152+1)</f>
        <v>2065</v>
      </c>
      <c r="D153" s="12">
        <f>IF(F152+SUM(E$99:E152)=D$92,F152,D$92-SUM(E$99:E152))</f>
        <v>0</v>
      </c>
      <c r="E153" s="355">
        <f t="shared" si="73"/>
        <v>0</v>
      </c>
      <c r="F153" s="55">
        <f t="shared" si="74"/>
        <v>0</v>
      </c>
      <c r="G153" s="55">
        <f t="shared" si="75"/>
        <v>0</v>
      </c>
      <c r="H153" s="355">
        <f t="shared" si="71"/>
        <v>0</v>
      </c>
      <c r="I153" s="381">
        <f t="shared" si="72"/>
        <v>0</v>
      </c>
      <c r="J153" s="54">
        <f t="shared" si="76"/>
        <v>0</v>
      </c>
      <c r="K153" s="54"/>
      <c r="L153" s="115"/>
      <c r="M153" s="54">
        <f t="shared" si="77"/>
        <v>0</v>
      </c>
      <c r="N153" s="115"/>
      <c r="O153" s="54">
        <f t="shared" si="78"/>
        <v>0</v>
      </c>
      <c r="P153" s="54">
        <f t="shared" si="79"/>
        <v>0</v>
      </c>
    </row>
    <row r="154" spans="2:16" ht="13.5" thickBot="1">
      <c r="B154" s="7" t="str">
        <f t="shared" si="80"/>
        <v/>
      </c>
      <c r="C154" s="58">
        <f>IF(D93="","-",+C153+1)</f>
        <v>2066</v>
      </c>
      <c r="D154" s="403">
        <f>IF(F153+SUM(E$99:E153)=D$92,F153,D$92-SUM(E$99:E153))</f>
        <v>0</v>
      </c>
      <c r="E154" s="382">
        <f t="shared" si="73"/>
        <v>0</v>
      </c>
      <c r="F154" s="59">
        <f t="shared" si="74"/>
        <v>0</v>
      </c>
      <c r="G154" s="59">
        <f t="shared" si="75"/>
        <v>0</v>
      </c>
      <c r="H154" s="358">
        <f t="shared" ref="H154" si="81">+J$94*G154+E154</f>
        <v>0</v>
      </c>
      <c r="I154" s="383">
        <f t="shared" ref="I154" si="82">+J$95*G154+E154</f>
        <v>0</v>
      </c>
      <c r="J154" s="62">
        <f t="shared" si="76"/>
        <v>0</v>
      </c>
      <c r="K154" s="54"/>
      <c r="L154" s="116"/>
      <c r="M154" s="62">
        <f t="shared" si="77"/>
        <v>0</v>
      </c>
      <c r="N154" s="116"/>
      <c r="O154" s="62">
        <f t="shared" si="78"/>
        <v>0</v>
      </c>
      <c r="P154" s="62">
        <f t="shared" si="79"/>
        <v>0</v>
      </c>
    </row>
    <row r="155" spans="2:16">
      <c r="C155" s="12" t="s">
        <v>77</v>
      </c>
      <c r="D155" s="266"/>
      <c r="E155" s="266">
        <f>SUM(E99:E154)</f>
        <v>1404099.6199999999</v>
      </c>
      <c r="F155" s="266"/>
      <c r="G155" s="266"/>
      <c r="H155" s="266">
        <f>SUM(H99:H154)</f>
        <v>4965685.602505479</v>
      </c>
      <c r="I155" s="266">
        <f>SUM(I99:I154)</f>
        <v>4965685.602505479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3" priority="1" stopIfTrue="1" operator="equal">
      <formula>$I$10</formula>
    </cfRule>
  </conditionalFormatting>
  <conditionalFormatting sqref="C99:C154">
    <cfRule type="cellIs" dxfId="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2"/>
  <dimension ref="A1:P162"/>
  <sheetViews>
    <sheetView topLeftCell="A92" zoomScaleNormal="100" zoomScaleSheetLayoutView="75" workbookViewId="0">
      <selection activeCell="D93" sqref="D93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12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363616.86842105264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363616.86842105264</v>
      </c>
      <c r="O6" s="1"/>
      <c r="P6" s="1"/>
    </row>
    <row r="7" spans="1:16" ht="13.5" thickBot="1">
      <c r="C7" s="26" t="s">
        <v>46</v>
      </c>
      <c r="D7" s="331" t="s">
        <v>234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233</v>
      </c>
      <c r="E9" s="404" t="s">
        <v>290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3305767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2013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8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86993.868421052626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2013</v>
      </c>
      <c r="D17" s="348">
        <v>1132400</v>
      </c>
      <c r="E17" s="349">
        <v>3629.4871794871797</v>
      </c>
      <c r="F17" s="348">
        <v>1128770.5128205128</v>
      </c>
      <c r="G17" s="349">
        <v>160761.94360740471</v>
      </c>
      <c r="H17" s="353">
        <v>160761.94360740471</v>
      </c>
      <c r="I17" s="52">
        <f t="shared" ref="I17:I48" si="0">H17-G17</f>
        <v>0</v>
      </c>
      <c r="J17" s="52"/>
      <c r="K17" s="117">
        <f t="shared" ref="K17:K22" si="1">G17</f>
        <v>160761.94360740471</v>
      </c>
      <c r="L17" s="53">
        <f t="shared" ref="L17:L48" si="2">IF(K17&lt;&gt;0,+G17-K17,0)</f>
        <v>0</v>
      </c>
      <c r="M17" s="117">
        <f t="shared" ref="M17:M22" si="3">H17</f>
        <v>160761.94360740471</v>
      </c>
      <c r="N17" s="390">
        <f t="shared" ref="N17:N48" si="4">IF(M17&lt;&gt;0,+H17-M17,0)</f>
        <v>0</v>
      </c>
      <c r="O17" s="54">
        <f t="shared" ref="O17:O48" si="5">+N17-L17</f>
        <v>0</v>
      </c>
      <c r="P17" s="1"/>
    </row>
    <row r="18" spans="2:16">
      <c r="B18" s="7" t="str">
        <f t="shared" ref="B18:B49" si="6">IF(D18=F17,"","IU")</f>
        <v>IU</v>
      </c>
      <c r="C18" s="50">
        <f>IF(D11="","-",+C17+1)</f>
        <v>2014</v>
      </c>
      <c r="D18" s="348">
        <v>2746405</v>
      </c>
      <c r="E18" s="352">
        <v>52885</v>
      </c>
      <c r="F18" s="348">
        <v>2693519</v>
      </c>
      <c r="G18" s="352">
        <v>437538</v>
      </c>
      <c r="H18" s="353">
        <v>437538</v>
      </c>
      <c r="I18" s="52">
        <f t="shared" si="0"/>
        <v>0</v>
      </c>
      <c r="J18" s="52"/>
      <c r="K18" s="350">
        <f t="shared" si="1"/>
        <v>437538</v>
      </c>
      <c r="L18" s="54">
        <f t="shared" ref="L18:L23" si="7">IF(K18&lt;&gt;0,+G18-K18,0)</f>
        <v>0</v>
      </c>
      <c r="M18" s="350">
        <f t="shared" si="3"/>
        <v>437538</v>
      </c>
      <c r="N18" s="54">
        <f t="shared" ref="N18:N23" si="8">IF(M18&lt;&gt;0,+H18-M18,0)</f>
        <v>0</v>
      </c>
      <c r="O18" s="54">
        <f t="shared" ref="O18:O23" si="9">+N18-L18</f>
        <v>0</v>
      </c>
      <c r="P18" s="1"/>
    </row>
    <row r="19" spans="2:16">
      <c r="B19" s="7" t="str">
        <f t="shared" si="6"/>
        <v>IU</v>
      </c>
      <c r="C19" s="50">
        <f>IF(D11="","-",+C18+1)</f>
        <v>2015</v>
      </c>
      <c r="D19" s="348">
        <v>3185619.512820513</v>
      </c>
      <c r="E19" s="352">
        <v>62348.730769230766</v>
      </c>
      <c r="F19" s="348">
        <v>3123270.782051282</v>
      </c>
      <c r="G19" s="352">
        <v>492294.73076923075</v>
      </c>
      <c r="H19" s="353">
        <v>492294.73076923075</v>
      </c>
      <c r="I19" s="52">
        <v>0</v>
      </c>
      <c r="J19" s="52"/>
      <c r="K19" s="350">
        <f t="shared" si="1"/>
        <v>492294.73076923075</v>
      </c>
      <c r="L19" s="54">
        <f t="shared" si="7"/>
        <v>0</v>
      </c>
      <c r="M19" s="350">
        <f t="shared" si="3"/>
        <v>492294.73076923075</v>
      </c>
      <c r="N19" s="54">
        <f t="shared" si="8"/>
        <v>0</v>
      </c>
      <c r="O19" s="54">
        <f t="shared" si="9"/>
        <v>0</v>
      </c>
      <c r="P19" s="1"/>
    </row>
    <row r="20" spans="2:16">
      <c r="B20" s="7" t="str">
        <f t="shared" si="6"/>
        <v>IU</v>
      </c>
      <c r="C20" s="50">
        <f>IF(D11="","-",+C19+1)</f>
        <v>2016</v>
      </c>
      <c r="D20" s="348">
        <v>3186903.9220512821</v>
      </c>
      <c r="E20" s="352">
        <v>63572.445</v>
      </c>
      <c r="F20" s="348">
        <v>3123331.4770512823</v>
      </c>
      <c r="G20" s="352">
        <v>494191.44500000001</v>
      </c>
      <c r="H20" s="353">
        <v>494191.44500000001</v>
      </c>
      <c r="I20" s="52">
        <v>0</v>
      </c>
      <c r="J20" s="52"/>
      <c r="K20" s="350">
        <f t="shared" si="1"/>
        <v>494191.44500000001</v>
      </c>
      <c r="L20" s="54">
        <f t="shared" si="7"/>
        <v>0</v>
      </c>
      <c r="M20" s="350">
        <f t="shared" si="3"/>
        <v>494191.44500000001</v>
      </c>
      <c r="N20" s="54">
        <f t="shared" si="8"/>
        <v>0</v>
      </c>
      <c r="O20" s="54">
        <f t="shared" si="9"/>
        <v>0</v>
      </c>
      <c r="P20" s="1"/>
    </row>
    <row r="21" spans="2:16">
      <c r="B21" s="7" t="str">
        <f t="shared" si="6"/>
        <v/>
      </c>
      <c r="C21" s="50">
        <f>IF(D11="","-",+C20+1)</f>
        <v>2017</v>
      </c>
      <c r="D21" s="348">
        <v>3123331.4770512823</v>
      </c>
      <c r="E21" s="352">
        <v>63572.445</v>
      </c>
      <c r="F21" s="348">
        <v>3059759.0320512825</v>
      </c>
      <c r="G21" s="352">
        <v>464889.44500000001</v>
      </c>
      <c r="H21" s="353">
        <v>464889.44500000001</v>
      </c>
      <c r="I21" s="52">
        <f t="shared" si="0"/>
        <v>0</v>
      </c>
      <c r="J21" s="52"/>
      <c r="K21" s="350">
        <f t="shared" si="1"/>
        <v>464889.44500000001</v>
      </c>
      <c r="L21" s="54">
        <f t="shared" si="7"/>
        <v>0</v>
      </c>
      <c r="M21" s="350">
        <f t="shared" si="3"/>
        <v>464889.44500000001</v>
      </c>
      <c r="N21" s="54">
        <f t="shared" si="8"/>
        <v>0</v>
      </c>
      <c r="O21" s="54">
        <f t="shared" si="9"/>
        <v>0</v>
      </c>
      <c r="P21" s="1"/>
    </row>
    <row r="22" spans="2:16">
      <c r="B22" s="7" t="str">
        <f t="shared" si="6"/>
        <v/>
      </c>
      <c r="C22" s="50">
        <f>IF(D11="","-",+C21+1)</f>
        <v>2018</v>
      </c>
      <c r="D22" s="348">
        <v>3059759.0320512825</v>
      </c>
      <c r="E22" s="352">
        <v>71864.503043478268</v>
      </c>
      <c r="F22" s="348">
        <v>2987894.5290078041</v>
      </c>
      <c r="G22" s="352">
        <v>452105.50304347824</v>
      </c>
      <c r="H22" s="353">
        <v>452105.50304347824</v>
      </c>
      <c r="I22" s="52">
        <f t="shared" si="0"/>
        <v>0</v>
      </c>
      <c r="J22" s="52"/>
      <c r="K22" s="350">
        <f t="shared" si="1"/>
        <v>452105.50304347824</v>
      </c>
      <c r="L22" s="54">
        <f t="shared" si="7"/>
        <v>0</v>
      </c>
      <c r="M22" s="350">
        <f t="shared" si="3"/>
        <v>452105.50304347824</v>
      </c>
      <c r="N22" s="54">
        <f t="shared" si="8"/>
        <v>0</v>
      </c>
      <c r="O22" s="54">
        <f t="shared" si="9"/>
        <v>0</v>
      </c>
      <c r="P22" s="1"/>
    </row>
    <row r="23" spans="2:16">
      <c r="B23" s="7" t="str">
        <f t="shared" si="6"/>
        <v/>
      </c>
      <c r="C23" s="50">
        <f>IF(D11="","-",+C22+1)</f>
        <v>2019</v>
      </c>
      <c r="D23" s="348">
        <v>2987894.5290078041</v>
      </c>
      <c r="E23" s="352">
        <v>73461.491999999998</v>
      </c>
      <c r="F23" s="348">
        <v>2914433.037007804</v>
      </c>
      <c r="G23" s="352">
        <v>467887.49199999997</v>
      </c>
      <c r="H23" s="353">
        <v>467887.49199999997</v>
      </c>
      <c r="I23" s="52">
        <f t="shared" si="0"/>
        <v>0</v>
      </c>
      <c r="J23" s="52"/>
      <c r="K23" s="350">
        <f t="shared" ref="K23:K28" si="10">G23</f>
        <v>467887.49199999997</v>
      </c>
      <c r="L23" s="54">
        <f t="shared" si="7"/>
        <v>0</v>
      </c>
      <c r="M23" s="350">
        <f t="shared" ref="M23:M28" si="11">H23</f>
        <v>467887.49199999997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2020</v>
      </c>
      <c r="D24" s="348">
        <v>2914433.037007804</v>
      </c>
      <c r="E24" s="352">
        <v>73461.491999999998</v>
      </c>
      <c r="F24" s="348">
        <v>2840971.5450078039</v>
      </c>
      <c r="G24" s="352">
        <v>457945.49199999997</v>
      </c>
      <c r="H24" s="353">
        <v>457945.49199999997</v>
      </c>
      <c r="I24" s="52">
        <f t="shared" si="0"/>
        <v>0</v>
      </c>
      <c r="J24" s="52"/>
      <c r="K24" s="350">
        <f t="shared" si="10"/>
        <v>457945.49199999997</v>
      </c>
      <c r="L24" s="54">
        <f t="shared" ref="L24" si="12">IF(K24&lt;&gt;0,+G24-K24,0)</f>
        <v>0</v>
      </c>
      <c r="M24" s="350">
        <f t="shared" si="11"/>
        <v>457945.49199999997</v>
      </c>
      <c r="N24" s="54">
        <f t="shared" ref="N24" si="13">IF(M24&lt;&gt;0,+H24-M24,0)</f>
        <v>0</v>
      </c>
      <c r="O24" s="54">
        <f t="shared" ref="O24" si="14">+N24-L24</f>
        <v>0</v>
      </c>
      <c r="P24" s="1"/>
    </row>
    <row r="25" spans="2:16">
      <c r="B25" s="7" t="str">
        <f t="shared" si="6"/>
        <v/>
      </c>
      <c r="C25" s="50">
        <f>IF(D11="","-",+C24+1)</f>
        <v>2021</v>
      </c>
      <c r="D25" s="348">
        <v>2840971.5450078039</v>
      </c>
      <c r="E25" s="352">
        <v>78708.741428571433</v>
      </c>
      <c r="F25" s="348">
        <v>2762262.8035792327</v>
      </c>
      <c r="G25" s="352">
        <v>381296.77932523622</v>
      </c>
      <c r="H25" s="353">
        <v>381296.77932523622</v>
      </c>
      <c r="I25" s="52">
        <f t="shared" si="0"/>
        <v>0</v>
      </c>
      <c r="J25" s="52"/>
      <c r="K25" s="350">
        <f t="shared" si="10"/>
        <v>381296.77932523622</v>
      </c>
      <c r="L25" s="54">
        <f t="shared" ref="L25" si="15">IF(K25&lt;&gt;0,+G25-K25,0)</f>
        <v>0</v>
      </c>
      <c r="M25" s="350">
        <f t="shared" si="11"/>
        <v>381296.77932523622</v>
      </c>
      <c r="N25" s="54">
        <f t="shared" si="4"/>
        <v>0</v>
      </c>
      <c r="O25" s="54">
        <f t="shared" si="5"/>
        <v>0</v>
      </c>
      <c r="P25" s="1"/>
    </row>
    <row r="26" spans="2:16">
      <c r="B26" s="7" t="str">
        <f t="shared" si="6"/>
        <v>IU</v>
      </c>
      <c r="C26" s="50">
        <f>IF(D11="","-",+C25+1)</f>
        <v>2022</v>
      </c>
      <c r="D26" s="348">
        <v>2753080.1170792324</v>
      </c>
      <c r="E26" s="352">
        <v>76878.305581395354</v>
      </c>
      <c r="F26" s="348">
        <v>2676201.8114978368</v>
      </c>
      <c r="G26" s="352">
        <v>365431.30558139534</v>
      </c>
      <c r="H26" s="353">
        <v>365431.30558139534</v>
      </c>
      <c r="I26" s="52">
        <f t="shared" si="0"/>
        <v>0</v>
      </c>
      <c r="J26" s="52"/>
      <c r="K26" s="350">
        <f t="shared" si="10"/>
        <v>365431.30558139534</v>
      </c>
      <c r="L26" s="54">
        <f t="shared" ref="L26" si="16">IF(K26&lt;&gt;0,+G26-K26,0)</f>
        <v>0</v>
      </c>
      <c r="M26" s="350">
        <f t="shared" si="11"/>
        <v>365431.30558139534</v>
      </c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6"/>
        <v>IU</v>
      </c>
      <c r="C27" s="50">
        <f>IF(D11="","-",+C26+1)</f>
        <v>2023</v>
      </c>
      <c r="D27" s="348">
        <v>2685384.4979978371</v>
      </c>
      <c r="E27" s="352">
        <v>78708.741428571433</v>
      </c>
      <c r="F27" s="348">
        <v>2606675.7565692659</v>
      </c>
      <c r="G27" s="352">
        <v>359737.7414285714</v>
      </c>
      <c r="H27" s="353">
        <v>359737.7414285714</v>
      </c>
      <c r="I27" s="52">
        <f t="shared" si="0"/>
        <v>0</v>
      </c>
      <c r="J27" s="52"/>
      <c r="K27" s="350">
        <f t="shared" si="10"/>
        <v>359737.7414285714</v>
      </c>
      <c r="L27" s="54">
        <f t="shared" ref="L27" si="17">IF(K27&lt;&gt;0,+G27-K27,0)</f>
        <v>0</v>
      </c>
      <c r="M27" s="350">
        <f t="shared" si="11"/>
        <v>359737.7414285714</v>
      </c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6"/>
        <v>IU</v>
      </c>
      <c r="C28" s="50">
        <f>IF(D11="","-",+C27+1)</f>
        <v>2024</v>
      </c>
      <c r="D28" s="348">
        <v>2606675.6165692657</v>
      </c>
      <c r="E28" s="352">
        <v>84763.256410256407</v>
      </c>
      <c r="F28" s="348">
        <v>2521912.3601590092</v>
      </c>
      <c r="G28" s="352">
        <v>385776.25641025638</v>
      </c>
      <c r="H28" s="353">
        <v>385776.25641025638</v>
      </c>
      <c r="I28" s="52">
        <f t="shared" si="0"/>
        <v>0</v>
      </c>
      <c r="J28" s="52"/>
      <c r="K28" s="350">
        <f t="shared" si="10"/>
        <v>385776.25641025638</v>
      </c>
      <c r="L28" s="54">
        <f t="shared" ref="L28" si="18">IF(K28&lt;&gt;0,+G28-K28,0)</f>
        <v>0</v>
      </c>
      <c r="M28" s="350">
        <f t="shared" si="11"/>
        <v>385776.25641025638</v>
      </c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6"/>
        <v/>
      </c>
      <c r="C29" s="50">
        <f>IF(D11="","-",+C28+1)</f>
        <v>2025</v>
      </c>
      <c r="D29" s="348">
        <v>2521912.3601590092</v>
      </c>
      <c r="E29" s="352">
        <v>86993.868421052626</v>
      </c>
      <c r="F29" s="348">
        <v>2434918.4917379566</v>
      </c>
      <c r="G29" s="352">
        <v>363616.86842105264</v>
      </c>
      <c r="H29" s="353">
        <v>363616.86842105264</v>
      </c>
      <c r="I29" s="52">
        <f t="shared" si="0"/>
        <v>0</v>
      </c>
      <c r="J29" s="52"/>
      <c r="K29" s="350">
        <f t="shared" ref="K29" si="19">G29</f>
        <v>363616.86842105264</v>
      </c>
      <c r="L29" s="54">
        <f t="shared" ref="L29" si="20">IF(K29&lt;&gt;0,+G29-K29,0)</f>
        <v>0</v>
      </c>
      <c r="M29" s="350">
        <f t="shared" ref="M29" si="21">H29</f>
        <v>363616.86842105264</v>
      </c>
      <c r="N29" s="54">
        <f t="shared" ref="N29" si="22">IF(M29&lt;&gt;0,+H29-M29,0)</f>
        <v>0</v>
      </c>
      <c r="O29" s="54">
        <f t="shared" ref="O29" si="23">+N29-L29</f>
        <v>0</v>
      </c>
      <c r="P29" s="1"/>
    </row>
    <row r="30" spans="2:16">
      <c r="B30" s="7" t="str">
        <f t="shared" si="6"/>
        <v/>
      </c>
      <c r="C30" s="50">
        <f>IF(D11="","-",+C29+1)</f>
        <v>2026</v>
      </c>
      <c r="D30" s="55">
        <f>IF(F29+SUM(E$17:E29)=D$10,F29,D$10-SUM(E$17:E29))</f>
        <v>2434918.4917379566</v>
      </c>
      <c r="E30" s="354">
        <f>IF(+I14&lt;F29,I14,D30)</f>
        <v>86993.868421052626</v>
      </c>
      <c r="F30" s="55">
        <f t="shared" ref="F30:F48" si="24">+D30-E30</f>
        <v>2347924.6233169041</v>
      </c>
      <c r="G30" s="355">
        <f t="shared" ref="G30:G72" si="25">(D30+F30)/2*I$12+E30</f>
        <v>358674.88769850059</v>
      </c>
      <c r="H30" s="336">
        <f t="shared" ref="H30:H72" si="26">+(D30+F30)/2*I$13+E30</f>
        <v>358674.88769850059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6"/>
        <v/>
      </c>
      <c r="C31" s="50">
        <f>IF(D11="","-",+C30+1)</f>
        <v>2027</v>
      </c>
      <c r="D31" s="55">
        <f>IF(F30+SUM(E$17:E30)=D$10,F30,D$10-SUM(E$17:E30))</f>
        <v>2347924.6233169041</v>
      </c>
      <c r="E31" s="354">
        <f>IF(+I14&lt;F30,I14,D31)</f>
        <v>86993.868421052626</v>
      </c>
      <c r="F31" s="55">
        <f t="shared" si="24"/>
        <v>2260930.7548958515</v>
      </c>
      <c r="G31" s="355">
        <f t="shared" si="25"/>
        <v>348791.81929129077</v>
      </c>
      <c r="H31" s="336">
        <f t="shared" si="26"/>
        <v>348791.81929129077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6"/>
        <v/>
      </c>
      <c r="C32" s="50">
        <f>IF(D11="","-",+C31+1)</f>
        <v>2028</v>
      </c>
      <c r="D32" s="55">
        <f>IF(F31+SUM(E$17:E31)=D$10,F31,D$10-SUM(E$17:E31))</f>
        <v>2260930.7548958515</v>
      </c>
      <c r="E32" s="354">
        <f>IF(+I14&lt;F31,I14,D32)</f>
        <v>86993.868421052626</v>
      </c>
      <c r="F32" s="55">
        <f t="shared" si="24"/>
        <v>2173936.8864747989</v>
      </c>
      <c r="G32" s="355">
        <f t="shared" si="25"/>
        <v>338908.750884081</v>
      </c>
      <c r="H32" s="336">
        <f t="shared" si="26"/>
        <v>338908.750884081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6"/>
        <v/>
      </c>
      <c r="C33" s="50">
        <f>IF(D11="","-",+C32+1)</f>
        <v>2029</v>
      </c>
      <c r="D33" s="55">
        <f>IF(F32+SUM(E$17:E32)=D$10,F32,D$10-SUM(E$17:E32))</f>
        <v>2173936.8864747989</v>
      </c>
      <c r="E33" s="354">
        <f>IF(+I14&lt;F32,I14,D33)</f>
        <v>86993.868421052626</v>
      </c>
      <c r="F33" s="55">
        <f t="shared" si="24"/>
        <v>2086943.0180537463</v>
      </c>
      <c r="G33" s="355">
        <f t="shared" si="25"/>
        <v>329025.68247687118</v>
      </c>
      <c r="H33" s="336">
        <f t="shared" si="26"/>
        <v>329025.68247687118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6"/>
        <v/>
      </c>
      <c r="C34" s="50">
        <f>IF(D11="","-",+C33+1)</f>
        <v>2030</v>
      </c>
      <c r="D34" s="55">
        <f>IF(F33+SUM(E$17:E33)=D$10,F33,D$10-SUM(E$17:E33))</f>
        <v>2086943.0180537463</v>
      </c>
      <c r="E34" s="354">
        <f>IF(+I14&lt;F33,I14,D34)</f>
        <v>86993.868421052626</v>
      </c>
      <c r="F34" s="55">
        <f t="shared" si="24"/>
        <v>1999949.1496326937</v>
      </c>
      <c r="G34" s="355">
        <f t="shared" si="25"/>
        <v>319142.61406966142</v>
      </c>
      <c r="H34" s="336">
        <f t="shared" si="26"/>
        <v>319142.61406966142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6"/>
        <v/>
      </c>
      <c r="C35" s="50">
        <f>IF(D11="","-",+C34+1)</f>
        <v>2031</v>
      </c>
      <c r="D35" s="55">
        <f>IF(F34+SUM(E$17:E34)=D$10,F34,D$10-SUM(E$17:E34))</f>
        <v>1999949.1496326937</v>
      </c>
      <c r="E35" s="354">
        <f>IF(+I14&lt;F34,I14,D35)</f>
        <v>86993.868421052626</v>
      </c>
      <c r="F35" s="55">
        <f t="shared" si="24"/>
        <v>1912955.2812116412</v>
      </c>
      <c r="G35" s="355">
        <f t="shared" si="25"/>
        <v>309259.54566245165</v>
      </c>
      <c r="H35" s="336">
        <f t="shared" si="26"/>
        <v>309259.54566245165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6"/>
        <v/>
      </c>
      <c r="C36" s="50">
        <f>IF(D11="","-",+C35+1)</f>
        <v>2032</v>
      </c>
      <c r="D36" s="55">
        <f>IF(F35+SUM(E$17:E35)=D$10,F35,D$10-SUM(E$17:E35))</f>
        <v>1912955.2812116412</v>
      </c>
      <c r="E36" s="354">
        <f>IF(+I14&lt;F35,I14,D36)</f>
        <v>86993.868421052626</v>
      </c>
      <c r="F36" s="55">
        <f t="shared" si="24"/>
        <v>1825961.4127905886</v>
      </c>
      <c r="G36" s="355">
        <f t="shared" si="25"/>
        <v>299376.47725524189</v>
      </c>
      <c r="H36" s="336">
        <f t="shared" si="26"/>
        <v>299376.47725524189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6"/>
        <v/>
      </c>
      <c r="C37" s="50">
        <f>IF(D11="","-",+C36+1)</f>
        <v>2033</v>
      </c>
      <c r="D37" s="55">
        <f>IF(F36+SUM(E$17:E36)=D$10,F36,D$10-SUM(E$17:E36))</f>
        <v>1825961.4127905886</v>
      </c>
      <c r="E37" s="354">
        <f>IF(+I14&lt;F36,I14,D37)</f>
        <v>86993.868421052626</v>
      </c>
      <c r="F37" s="55">
        <f t="shared" si="24"/>
        <v>1738967.544369536</v>
      </c>
      <c r="G37" s="355">
        <f t="shared" si="25"/>
        <v>289493.40884803206</v>
      </c>
      <c r="H37" s="336">
        <f t="shared" si="26"/>
        <v>289493.40884803206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6"/>
        <v/>
      </c>
      <c r="C38" s="50">
        <f>IF(D11="","-",+C37+1)</f>
        <v>2034</v>
      </c>
      <c r="D38" s="55">
        <f>IF(F37+SUM(E$17:E37)=D$10,F37,D$10-SUM(E$17:E37))</f>
        <v>1738967.544369536</v>
      </c>
      <c r="E38" s="354">
        <f>IF(+I14&lt;F37,I14,D38)</f>
        <v>86993.868421052626</v>
      </c>
      <c r="F38" s="55">
        <f t="shared" si="24"/>
        <v>1651973.6759484834</v>
      </c>
      <c r="G38" s="355">
        <f t="shared" si="25"/>
        <v>279610.3404408223</v>
      </c>
      <c r="H38" s="336">
        <f t="shared" si="26"/>
        <v>279610.3404408223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6"/>
        <v/>
      </c>
      <c r="C39" s="50">
        <f>IF(D11="","-",+C38+1)</f>
        <v>2035</v>
      </c>
      <c r="D39" s="55">
        <f>IF(F38+SUM(E$17:E38)=D$10,F38,D$10-SUM(E$17:E38))</f>
        <v>1651973.6759484834</v>
      </c>
      <c r="E39" s="354">
        <f>IF(+I14&lt;F38,I14,D39)</f>
        <v>86993.868421052626</v>
      </c>
      <c r="F39" s="55">
        <f t="shared" si="24"/>
        <v>1564979.8075274308</v>
      </c>
      <c r="G39" s="355">
        <f t="shared" si="25"/>
        <v>269727.27203361253</v>
      </c>
      <c r="H39" s="336">
        <f t="shared" si="26"/>
        <v>269727.27203361253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6"/>
        <v/>
      </c>
      <c r="C40" s="50">
        <f>IF(D11="","-",+C39+1)</f>
        <v>2036</v>
      </c>
      <c r="D40" s="55">
        <f>IF(F39+SUM(E$17:E39)=D$10,F39,D$10-SUM(E$17:E39))</f>
        <v>1564979.8075274308</v>
      </c>
      <c r="E40" s="354">
        <f>IF(+I14&lt;F39,I14,D40)</f>
        <v>86993.868421052626</v>
      </c>
      <c r="F40" s="55">
        <f t="shared" si="24"/>
        <v>1477985.9391063782</v>
      </c>
      <c r="G40" s="355">
        <f t="shared" si="25"/>
        <v>259844.20362640271</v>
      </c>
      <c r="H40" s="336">
        <f t="shared" si="26"/>
        <v>259844.20362640271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6"/>
        <v/>
      </c>
      <c r="C41" s="50">
        <f>IF(D11="","-",+C40+1)</f>
        <v>2037</v>
      </c>
      <c r="D41" s="55">
        <f>IF(F40+SUM(E$17:E40)=D$10,F40,D$10-SUM(E$17:E40))</f>
        <v>1477985.9391063782</v>
      </c>
      <c r="E41" s="354">
        <f>IF(+I14&lt;F40,I14,D41)</f>
        <v>86993.868421052626</v>
      </c>
      <c r="F41" s="55">
        <f t="shared" si="24"/>
        <v>1390992.0706853257</v>
      </c>
      <c r="G41" s="355">
        <f t="shared" si="25"/>
        <v>249961.13521919295</v>
      </c>
      <c r="H41" s="336">
        <f t="shared" si="26"/>
        <v>249961.13521919295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6"/>
        <v/>
      </c>
      <c r="C42" s="50">
        <f>IF(D11="","-",+C41+1)</f>
        <v>2038</v>
      </c>
      <c r="D42" s="55">
        <f>IF(F41+SUM(E$17:E41)=D$10,F41,D$10-SUM(E$17:E41))</f>
        <v>1390992.0706853257</v>
      </c>
      <c r="E42" s="354">
        <f>IF(+I14&lt;F41,I14,D42)</f>
        <v>86993.868421052626</v>
      </c>
      <c r="F42" s="55">
        <f t="shared" si="24"/>
        <v>1303998.2022642731</v>
      </c>
      <c r="G42" s="355">
        <f t="shared" si="25"/>
        <v>240078.06681198318</v>
      </c>
      <c r="H42" s="336">
        <f t="shared" si="26"/>
        <v>240078.06681198318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6"/>
        <v/>
      </c>
      <c r="C43" s="50">
        <f>IF(D11="","-",+C42+1)</f>
        <v>2039</v>
      </c>
      <c r="D43" s="55">
        <f>IF(F42+SUM(E$17:E42)=D$10,F42,D$10-SUM(E$17:E42))</f>
        <v>1303998.2022642731</v>
      </c>
      <c r="E43" s="354">
        <f>IF(+I14&lt;F42,I14,D43)</f>
        <v>86993.868421052626</v>
      </c>
      <c r="F43" s="55">
        <f t="shared" si="24"/>
        <v>1217004.3338432205</v>
      </c>
      <c r="G43" s="355">
        <f t="shared" si="25"/>
        <v>230194.99840477342</v>
      </c>
      <c r="H43" s="336">
        <f t="shared" si="26"/>
        <v>230194.99840477342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6"/>
        <v/>
      </c>
      <c r="C44" s="50">
        <f>IF(D11="","-",+C43+1)</f>
        <v>2040</v>
      </c>
      <c r="D44" s="55">
        <f>IF(F43+SUM(E$17:E43)=D$10,F43,D$10-SUM(E$17:E43))</f>
        <v>1217004.3338432205</v>
      </c>
      <c r="E44" s="354">
        <f>IF(+I14&lt;F43,I14,D44)</f>
        <v>86993.868421052626</v>
      </c>
      <c r="F44" s="55">
        <f t="shared" si="24"/>
        <v>1130010.4654221679</v>
      </c>
      <c r="G44" s="355">
        <f t="shared" si="25"/>
        <v>220311.92999756359</v>
      </c>
      <c r="H44" s="336">
        <f t="shared" si="26"/>
        <v>220311.92999756359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6"/>
        <v/>
      </c>
      <c r="C45" s="50">
        <f>IF(D11="","-",+C44+1)</f>
        <v>2041</v>
      </c>
      <c r="D45" s="55">
        <f>IF(F44+SUM(E$17:E44)=D$10,F44,D$10-SUM(E$17:E44))</f>
        <v>1130010.4654221679</v>
      </c>
      <c r="E45" s="354">
        <f>IF(+I14&lt;F44,I14,D45)</f>
        <v>86993.868421052626</v>
      </c>
      <c r="F45" s="55">
        <f t="shared" si="24"/>
        <v>1043016.5970011153</v>
      </c>
      <c r="G45" s="355">
        <f t="shared" si="25"/>
        <v>210428.86159035383</v>
      </c>
      <c r="H45" s="336">
        <f t="shared" si="26"/>
        <v>210428.86159035383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6"/>
        <v/>
      </c>
      <c r="C46" s="50">
        <f>IF(D11="","-",+C45+1)</f>
        <v>2042</v>
      </c>
      <c r="D46" s="55">
        <f>IF(F45+SUM(E$17:E45)=D$10,F45,D$10-SUM(E$17:E45))</f>
        <v>1043016.5970011153</v>
      </c>
      <c r="E46" s="354">
        <f>IF(+I14&lt;F45,I14,D46)</f>
        <v>86993.868421052626</v>
      </c>
      <c r="F46" s="55">
        <f t="shared" si="24"/>
        <v>956022.72858006274</v>
      </c>
      <c r="G46" s="355">
        <f t="shared" si="25"/>
        <v>200545.79318314407</v>
      </c>
      <c r="H46" s="336">
        <f t="shared" si="26"/>
        <v>200545.79318314407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6"/>
        <v/>
      </c>
      <c r="C47" s="50">
        <f>IF(D11="","-",+C46+1)</f>
        <v>2043</v>
      </c>
      <c r="D47" s="55">
        <f>IF(F46+SUM(E$17:E46)=D$10,F46,D$10-SUM(E$17:E46))</f>
        <v>956022.72858006274</v>
      </c>
      <c r="E47" s="354">
        <f>IF(+I14&lt;F46,I14,D47)</f>
        <v>86993.868421052626</v>
      </c>
      <c r="F47" s="55">
        <f t="shared" si="24"/>
        <v>869028.86015901016</v>
      </c>
      <c r="G47" s="355">
        <f t="shared" si="25"/>
        <v>190662.72477593427</v>
      </c>
      <c r="H47" s="336">
        <f t="shared" si="26"/>
        <v>190662.72477593427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6"/>
        <v/>
      </c>
      <c r="C48" s="50">
        <f>IF(D11="","-",+C47+1)</f>
        <v>2044</v>
      </c>
      <c r="D48" s="55">
        <f>IF(F47+SUM(E$17:E47)=D$10,F47,D$10-SUM(E$17:E47))</f>
        <v>869028.86015901016</v>
      </c>
      <c r="E48" s="354">
        <f>IF(+I14&lt;F47,I14,D48)</f>
        <v>86993.868421052626</v>
      </c>
      <c r="F48" s="55">
        <f t="shared" si="24"/>
        <v>782034.99173795758</v>
      </c>
      <c r="G48" s="355">
        <f t="shared" si="25"/>
        <v>180779.65636872448</v>
      </c>
      <c r="H48" s="336">
        <f t="shared" si="26"/>
        <v>180779.65636872448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6"/>
        <v/>
      </c>
      <c r="C49" s="50">
        <f>IF(D11="","-",+C48+1)</f>
        <v>2045</v>
      </c>
      <c r="D49" s="55">
        <f>IF(F48+SUM(E$17:E48)=D$10,F48,D$10-SUM(E$17:E48))</f>
        <v>782034.99173795758</v>
      </c>
      <c r="E49" s="354">
        <f>IF(+I14&lt;F48,I14,D49)</f>
        <v>86993.868421052626</v>
      </c>
      <c r="F49" s="55">
        <f t="shared" ref="F49:F72" si="27">+D49-E49</f>
        <v>695041.123316905</v>
      </c>
      <c r="G49" s="355">
        <f t="shared" si="25"/>
        <v>170896.58796151471</v>
      </c>
      <c r="H49" s="336">
        <f t="shared" si="26"/>
        <v>170896.58796151471</v>
      </c>
      <c r="I49" s="52">
        <f t="shared" ref="I49:I72" si="28">H49-G49</f>
        <v>0</v>
      </c>
      <c r="J49" s="52"/>
      <c r="K49" s="115"/>
      <c r="L49" s="54">
        <f t="shared" ref="L49:L72" si="29">IF(K49&lt;&gt;0,+G49-K49,0)</f>
        <v>0</v>
      </c>
      <c r="M49" s="115"/>
      <c r="N49" s="54">
        <f t="shared" ref="N49:N72" si="30">IF(M49&lt;&gt;0,+H49-M49,0)</f>
        <v>0</v>
      </c>
      <c r="O49" s="54">
        <f t="shared" ref="O49:O72" si="31">+N49-L49</f>
        <v>0</v>
      </c>
      <c r="P49" s="1"/>
    </row>
    <row r="50" spans="2:16">
      <c r="B50" s="7" t="str">
        <f t="shared" ref="B50:B72" si="32">IF(D50=F49,"","IU")</f>
        <v/>
      </c>
      <c r="C50" s="50">
        <f>IF(D11="","-",+C49+1)</f>
        <v>2046</v>
      </c>
      <c r="D50" s="55">
        <f>IF(F49+SUM(E$17:E49)=D$10,F49,D$10-SUM(E$17:E49))</f>
        <v>695041.123316905</v>
      </c>
      <c r="E50" s="354">
        <f>IF(+I14&lt;F49,I14,D50)</f>
        <v>86993.868421052626</v>
      </c>
      <c r="F50" s="55">
        <f t="shared" si="27"/>
        <v>608047.25489585241</v>
      </c>
      <c r="G50" s="355">
        <f t="shared" si="25"/>
        <v>161013.51955430495</v>
      </c>
      <c r="H50" s="336">
        <f t="shared" si="26"/>
        <v>161013.51955430495</v>
      </c>
      <c r="I50" s="52">
        <f t="shared" si="28"/>
        <v>0</v>
      </c>
      <c r="J50" s="52"/>
      <c r="K50" s="115"/>
      <c r="L50" s="54">
        <f t="shared" si="29"/>
        <v>0</v>
      </c>
      <c r="M50" s="115"/>
      <c r="N50" s="54">
        <f t="shared" si="30"/>
        <v>0</v>
      </c>
      <c r="O50" s="54">
        <f t="shared" si="31"/>
        <v>0</v>
      </c>
      <c r="P50" s="1"/>
    </row>
    <row r="51" spans="2:16">
      <c r="B51" s="7" t="str">
        <f t="shared" si="32"/>
        <v/>
      </c>
      <c r="C51" s="50">
        <f>IF(D11="","-",+C50+1)</f>
        <v>2047</v>
      </c>
      <c r="D51" s="55">
        <f>IF(F50+SUM(E$17:E50)=D$10,F50,D$10-SUM(E$17:E50))</f>
        <v>608047.25489585241</v>
      </c>
      <c r="E51" s="354">
        <f>IF(+I14&lt;F50,I14,D51)</f>
        <v>86993.868421052626</v>
      </c>
      <c r="F51" s="55">
        <f t="shared" si="27"/>
        <v>521053.38647479977</v>
      </c>
      <c r="G51" s="355">
        <f t="shared" si="25"/>
        <v>151130.45114709515</v>
      </c>
      <c r="H51" s="336">
        <f t="shared" si="26"/>
        <v>151130.45114709515</v>
      </c>
      <c r="I51" s="52">
        <f t="shared" si="28"/>
        <v>0</v>
      </c>
      <c r="J51" s="52"/>
      <c r="K51" s="115"/>
      <c r="L51" s="54">
        <f t="shared" si="29"/>
        <v>0</v>
      </c>
      <c r="M51" s="115"/>
      <c r="N51" s="54">
        <f t="shared" si="30"/>
        <v>0</v>
      </c>
      <c r="O51" s="54">
        <f t="shared" si="31"/>
        <v>0</v>
      </c>
      <c r="P51" s="1"/>
    </row>
    <row r="52" spans="2:16">
      <c r="B52" s="7" t="str">
        <f t="shared" si="32"/>
        <v/>
      </c>
      <c r="C52" s="50">
        <f>IF(D11="","-",+C51+1)</f>
        <v>2048</v>
      </c>
      <c r="D52" s="55">
        <f>IF(F51+SUM(E$17:E51)=D$10,F51,D$10-SUM(E$17:E51))</f>
        <v>521053.38647479977</v>
      </c>
      <c r="E52" s="354">
        <f>IF(+I14&lt;F51,I14,D52)</f>
        <v>86993.868421052626</v>
      </c>
      <c r="F52" s="55">
        <f t="shared" si="27"/>
        <v>434059.51805374713</v>
      </c>
      <c r="G52" s="355">
        <f t="shared" si="25"/>
        <v>141247.38273988536</v>
      </c>
      <c r="H52" s="336">
        <f t="shared" si="26"/>
        <v>141247.38273988536</v>
      </c>
      <c r="I52" s="52">
        <f t="shared" si="28"/>
        <v>0</v>
      </c>
      <c r="J52" s="52"/>
      <c r="K52" s="115"/>
      <c r="L52" s="54">
        <f t="shared" si="29"/>
        <v>0</v>
      </c>
      <c r="M52" s="115"/>
      <c r="N52" s="54">
        <f t="shared" si="30"/>
        <v>0</v>
      </c>
      <c r="O52" s="54">
        <f t="shared" si="31"/>
        <v>0</v>
      </c>
      <c r="P52" s="1"/>
    </row>
    <row r="53" spans="2:16">
      <c r="B53" s="7" t="str">
        <f t="shared" si="32"/>
        <v/>
      </c>
      <c r="C53" s="50">
        <f>IF(D11="","-",+C52+1)</f>
        <v>2049</v>
      </c>
      <c r="D53" s="55">
        <f>IF(F52+SUM(E$17:E52)=D$10,F52,D$10-SUM(E$17:E52))</f>
        <v>434059.51805374713</v>
      </c>
      <c r="E53" s="354">
        <f>IF(+I14&lt;F52,I14,D53)</f>
        <v>86993.868421052626</v>
      </c>
      <c r="F53" s="55">
        <f t="shared" si="27"/>
        <v>347065.64963269449</v>
      </c>
      <c r="G53" s="355">
        <f t="shared" si="25"/>
        <v>131364.31433267557</v>
      </c>
      <c r="H53" s="336">
        <f t="shared" si="26"/>
        <v>131364.31433267557</v>
      </c>
      <c r="I53" s="52">
        <f t="shared" si="28"/>
        <v>0</v>
      </c>
      <c r="J53" s="52"/>
      <c r="K53" s="115"/>
      <c r="L53" s="54">
        <f t="shared" si="29"/>
        <v>0</v>
      </c>
      <c r="M53" s="115"/>
      <c r="N53" s="54">
        <f t="shared" si="30"/>
        <v>0</v>
      </c>
      <c r="O53" s="54">
        <f t="shared" si="31"/>
        <v>0</v>
      </c>
      <c r="P53" s="1"/>
    </row>
    <row r="54" spans="2:16">
      <c r="B54" s="7" t="str">
        <f t="shared" si="32"/>
        <v/>
      </c>
      <c r="C54" s="50">
        <f>IF(D11="","-",+C53+1)</f>
        <v>2050</v>
      </c>
      <c r="D54" s="55">
        <f>IF(F53+SUM(E$17:E53)=D$10,F53,D$10-SUM(E$17:E53))</f>
        <v>347065.64963269449</v>
      </c>
      <c r="E54" s="354">
        <f>IF(+I14&lt;F53,I14,D54)</f>
        <v>86993.868421052626</v>
      </c>
      <c r="F54" s="55">
        <f t="shared" si="27"/>
        <v>260071.78121164185</v>
      </c>
      <c r="G54" s="355">
        <f t="shared" si="25"/>
        <v>121481.24592546577</v>
      </c>
      <c r="H54" s="336">
        <f t="shared" si="26"/>
        <v>121481.24592546577</v>
      </c>
      <c r="I54" s="52">
        <f t="shared" si="28"/>
        <v>0</v>
      </c>
      <c r="J54" s="52"/>
      <c r="K54" s="115"/>
      <c r="L54" s="54">
        <f t="shared" si="29"/>
        <v>0</v>
      </c>
      <c r="M54" s="115"/>
      <c r="N54" s="54">
        <f t="shared" si="30"/>
        <v>0</v>
      </c>
      <c r="O54" s="54">
        <f t="shared" si="31"/>
        <v>0</v>
      </c>
      <c r="P54" s="1"/>
    </row>
    <row r="55" spans="2:16">
      <c r="B55" s="7" t="str">
        <f t="shared" si="32"/>
        <v/>
      </c>
      <c r="C55" s="50">
        <f>IF(D11="","-",+C54+1)</f>
        <v>2051</v>
      </c>
      <c r="D55" s="55">
        <f>IF(F54+SUM(E$17:E54)=D$10,F54,D$10-SUM(E$17:E54))</f>
        <v>260071.78121164185</v>
      </c>
      <c r="E55" s="354">
        <f>IF(+I14&lt;F54,I14,D55)</f>
        <v>86993.868421052626</v>
      </c>
      <c r="F55" s="55">
        <f t="shared" si="27"/>
        <v>173077.91279058921</v>
      </c>
      <c r="G55" s="355">
        <f t="shared" si="25"/>
        <v>111598.17751825599</v>
      </c>
      <c r="H55" s="336">
        <f t="shared" si="26"/>
        <v>111598.17751825599</v>
      </c>
      <c r="I55" s="52">
        <f t="shared" si="28"/>
        <v>0</v>
      </c>
      <c r="J55" s="52"/>
      <c r="K55" s="115"/>
      <c r="L55" s="54">
        <f t="shared" si="29"/>
        <v>0</v>
      </c>
      <c r="M55" s="115"/>
      <c r="N55" s="54">
        <f t="shared" si="30"/>
        <v>0</v>
      </c>
      <c r="O55" s="54">
        <f t="shared" si="31"/>
        <v>0</v>
      </c>
      <c r="P55" s="1"/>
    </row>
    <row r="56" spans="2:16">
      <c r="B56" s="7" t="str">
        <f t="shared" si="32"/>
        <v/>
      </c>
      <c r="C56" s="50">
        <f>IF(D11="","-",+C55+1)</f>
        <v>2052</v>
      </c>
      <c r="D56" s="55">
        <f>IF(F55+SUM(E$17:E55)=D$10,F55,D$10-SUM(E$17:E55))</f>
        <v>173077.91279058921</v>
      </c>
      <c r="E56" s="354">
        <f>IF(+I14&lt;F55,I14,D56)</f>
        <v>86993.868421052626</v>
      </c>
      <c r="F56" s="55">
        <f t="shared" si="27"/>
        <v>86084.044369536583</v>
      </c>
      <c r="G56" s="355">
        <f t="shared" si="25"/>
        <v>101715.10911104621</v>
      </c>
      <c r="H56" s="336">
        <f t="shared" si="26"/>
        <v>101715.10911104621</v>
      </c>
      <c r="I56" s="52">
        <f t="shared" si="28"/>
        <v>0</v>
      </c>
      <c r="J56" s="52"/>
      <c r="K56" s="115"/>
      <c r="L56" s="54">
        <f t="shared" si="29"/>
        <v>0</v>
      </c>
      <c r="M56" s="115"/>
      <c r="N56" s="54">
        <f t="shared" si="30"/>
        <v>0</v>
      </c>
      <c r="O56" s="54">
        <f t="shared" si="31"/>
        <v>0</v>
      </c>
      <c r="P56" s="1"/>
    </row>
    <row r="57" spans="2:16">
      <c r="B57" s="7" t="str">
        <f t="shared" si="32"/>
        <v/>
      </c>
      <c r="C57" s="50">
        <f>IF(D11="","-",+C56+1)</f>
        <v>2053</v>
      </c>
      <c r="D57" s="55">
        <f>IF(F56+SUM(E$17:E56)=D$10,F56,D$10-SUM(E$17:E56))</f>
        <v>86084.044369536583</v>
      </c>
      <c r="E57" s="354">
        <f>IF(+I14&lt;F56,I14,D57)</f>
        <v>86084.044369536583</v>
      </c>
      <c r="F57" s="55">
        <f t="shared" si="27"/>
        <v>0</v>
      </c>
      <c r="G57" s="355">
        <f t="shared" si="25"/>
        <v>90973.897612730929</v>
      </c>
      <c r="H57" s="336">
        <f t="shared" si="26"/>
        <v>90973.897612730929</v>
      </c>
      <c r="I57" s="52">
        <f t="shared" si="28"/>
        <v>0</v>
      </c>
      <c r="J57" s="52"/>
      <c r="K57" s="115"/>
      <c r="L57" s="54">
        <f t="shared" si="29"/>
        <v>0</v>
      </c>
      <c r="M57" s="115"/>
      <c r="N57" s="54">
        <f t="shared" si="30"/>
        <v>0</v>
      </c>
      <c r="O57" s="54">
        <f t="shared" si="31"/>
        <v>0</v>
      </c>
      <c r="P57" s="1"/>
    </row>
    <row r="58" spans="2:16">
      <c r="B58" s="7" t="str">
        <f t="shared" si="32"/>
        <v/>
      </c>
      <c r="C58" s="50">
        <f>IF(D11="","-",+C57+1)</f>
        <v>2054</v>
      </c>
      <c r="D58" s="55">
        <f>IF(F57+SUM(E$17:E57)=D$10,F57,D$10-SUM(E$17:E57))</f>
        <v>0</v>
      </c>
      <c r="E58" s="354">
        <f>IF(+I14&lt;F57,I14,D58)</f>
        <v>0</v>
      </c>
      <c r="F58" s="55">
        <f t="shared" si="27"/>
        <v>0</v>
      </c>
      <c r="G58" s="355">
        <f t="shared" si="25"/>
        <v>0</v>
      </c>
      <c r="H58" s="336">
        <f t="shared" si="26"/>
        <v>0</v>
      </c>
      <c r="I58" s="52">
        <f t="shared" si="28"/>
        <v>0</v>
      </c>
      <c r="J58" s="52"/>
      <c r="K58" s="115"/>
      <c r="L58" s="54">
        <f t="shared" si="29"/>
        <v>0</v>
      </c>
      <c r="M58" s="115"/>
      <c r="N58" s="54">
        <f t="shared" si="30"/>
        <v>0</v>
      </c>
      <c r="O58" s="54">
        <f t="shared" si="31"/>
        <v>0</v>
      </c>
      <c r="P58" s="1"/>
    </row>
    <row r="59" spans="2:16">
      <c r="B59" s="7" t="str">
        <f t="shared" si="32"/>
        <v/>
      </c>
      <c r="C59" s="50">
        <f>IF(D11="","-",+C58+1)</f>
        <v>2055</v>
      </c>
      <c r="D59" s="55">
        <f>IF(F58+SUM(E$17:E58)=D$10,F58,D$10-SUM(E$17:E58))</f>
        <v>0</v>
      </c>
      <c r="E59" s="354">
        <f>IF(+I14&lt;F58,I14,D59)</f>
        <v>0</v>
      </c>
      <c r="F59" s="55">
        <f t="shared" si="27"/>
        <v>0</v>
      </c>
      <c r="G59" s="355">
        <f t="shared" si="25"/>
        <v>0</v>
      </c>
      <c r="H59" s="336">
        <f t="shared" si="26"/>
        <v>0</v>
      </c>
      <c r="I59" s="52">
        <f t="shared" si="28"/>
        <v>0</v>
      </c>
      <c r="J59" s="52"/>
      <c r="K59" s="115"/>
      <c r="L59" s="54">
        <f t="shared" si="29"/>
        <v>0</v>
      </c>
      <c r="M59" s="115"/>
      <c r="N59" s="54">
        <f t="shared" si="30"/>
        <v>0</v>
      </c>
      <c r="O59" s="54">
        <f t="shared" si="31"/>
        <v>0</v>
      </c>
      <c r="P59" s="1"/>
    </row>
    <row r="60" spans="2:16">
      <c r="B60" s="7" t="str">
        <f t="shared" si="32"/>
        <v/>
      </c>
      <c r="C60" s="50">
        <f>IF(D11="","-",+C59+1)</f>
        <v>2056</v>
      </c>
      <c r="D60" s="55">
        <f>IF(F59+SUM(E$17:E59)=D$10,F59,D$10-SUM(E$17:E59))</f>
        <v>0</v>
      </c>
      <c r="E60" s="354">
        <f>IF(+I14&lt;F59,I14,D60)</f>
        <v>0</v>
      </c>
      <c r="F60" s="55">
        <f t="shared" si="27"/>
        <v>0</v>
      </c>
      <c r="G60" s="355">
        <f t="shared" si="25"/>
        <v>0</v>
      </c>
      <c r="H60" s="336">
        <f t="shared" si="26"/>
        <v>0</v>
      </c>
      <c r="I60" s="52">
        <f t="shared" si="28"/>
        <v>0</v>
      </c>
      <c r="J60" s="52"/>
      <c r="K60" s="115"/>
      <c r="L60" s="54">
        <f t="shared" si="29"/>
        <v>0</v>
      </c>
      <c r="M60" s="115"/>
      <c r="N60" s="54">
        <f t="shared" si="30"/>
        <v>0</v>
      </c>
      <c r="O60" s="54">
        <f t="shared" si="31"/>
        <v>0</v>
      </c>
      <c r="P60" s="1"/>
    </row>
    <row r="61" spans="2:16">
      <c r="B61" s="7" t="str">
        <f t="shared" si="32"/>
        <v/>
      </c>
      <c r="C61" s="50">
        <f>IF(D11="","-",+C60+1)</f>
        <v>2057</v>
      </c>
      <c r="D61" s="55">
        <f>IF(F60+SUM(E$17:E60)=D$10,F60,D$10-SUM(E$17:E60))</f>
        <v>0</v>
      </c>
      <c r="E61" s="354">
        <f>IF(+I14&lt;F60,I14,D61)</f>
        <v>0</v>
      </c>
      <c r="F61" s="55">
        <f t="shared" si="27"/>
        <v>0</v>
      </c>
      <c r="G61" s="355">
        <f t="shared" si="25"/>
        <v>0</v>
      </c>
      <c r="H61" s="336">
        <f t="shared" si="26"/>
        <v>0</v>
      </c>
      <c r="I61" s="52">
        <f t="shared" si="28"/>
        <v>0</v>
      </c>
      <c r="J61" s="52"/>
      <c r="K61" s="115"/>
      <c r="L61" s="54">
        <f t="shared" si="29"/>
        <v>0</v>
      </c>
      <c r="M61" s="115"/>
      <c r="N61" s="54">
        <f t="shared" si="30"/>
        <v>0</v>
      </c>
      <c r="O61" s="54">
        <f t="shared" si="31"/>
        <v>0</v>
      </c>
      <c r="P61" s="1"/>
    </row>
    <row r="62" spans="2:16">
      <c r="B62" s="7" t="str">
        <f t="shared" si="32"/>
        <v/>
      </c>
      <c r="C62" s="50">
        <f>IF(D11="","-",+C61+1)</f>
        <v>2058</v>
      </c>
      <c r="D62" s="55">
        <f>IF(F61+SUM(E$17:E61)=D$10,F61,D$10-SUM(E$17:E61))</f>
        <v>0</v>
      </c>
      <c r="E62" s="354">
        <f>IF(+I14&lt;F61,I14,D62)</f>
        <v>0</v>
      </c>
      <c r="F62" s="55">
        <f t="shared" si="27"/>
        <v>0</v>
      </c>
      <c r="G62" s="355">
        <f t="shared" si="25"/>
        <v>0</v>
      </c>
      <c r="H62" s="336">
        <f t="shared" si="26"/>
        <v>0</v>
      </c>
      <c r="I62" s="52">
        <f t="shared" si="28"/>
        <v>0</v>
      </c>
      <c r="J62" s="52"/>
      <c r="K62" s="115"/>
      <c r="L62" s="54">
        <f t="shared" si="29"/>
        <v>0</v>
      </c>
      <c r="M62" s="115"/>
      <c r="N62" s="54">
        <f t="shared" si="30"/>
        <v>0</v>
      </c>
      <c r="O62" s="54">
        <f t="shared" si="31"/>
        <v>0</v>
      </c>
      <c r="P62" s="1"/>
    </row>
    <row r="63" spans="2:16">
      <c r="B63" s="7" t="str">
        <f t="shared" si="32"/>
        <v/>
      </c>
      <c r="C63" s="50">
        <f>IF(D11="","-",+C62+1)</f>
        <v>2059</v>
      </c>
      <c r="D63" s="55">
        <f>IF(F62+SUM(E$17:E62)=D$10,F62,D$10-SUM(E$17:E62))</f>
        <v>0</v>
      </c>
      <c r="E63" s="354">
        <f>IF(+I14&lt;F62,I14,D63)</f>
        <v>0</v>
      </c>
      <c r="F63" s="55">
        <f t="shared" si="27"/>
        <v>0</v>
      </c>
      <c r="G63" s="355">
        <f t="shared" si="25"/>
        <v>0</v>
      </c>
      <c r="H63" s="336">
        <f t="shared" si="26"/>
        <v>0</v>
      </c>
      <c r="I63" s="52">
        <f t="shared" si="28"/>
        <v>0</v>
      </c>
      <c r="J63" s="52"/>
      <c r="K63" s="115"/>
      <c r="L63" s="54">
        <f t="shared" si="29"/>
        <v>0</v>
      </c>
      <c r="M63" s="115"/>
      <c r="N63" s="54">
        <f t="shared" si="30"/>
        <v>0</v>
      </c>
      <c r="O63" s="54">
        <f t="shared" si="31"/>
        <v>0</v>
      </c>
      <c r="P63" s="1"/>
    </row>
    <row r="64" spans="2:16">
      <c r="B64" s="7" t="str">
        <f t="shared" si="32"/>
        <v/>
      </c>
      <c r="C64" s="50">
        <f>IF(D11="","-",+C63+1)</f>
        <v>2060</v>
      </c>
      <c r="D64" s="55">
        <f>IF(F63+SUM(E$17:E63)=D$10,F63,D$10-SUM(E$17:E63))</f>
        <v>0</v>
      </c>
      <c r="E64" s="354">
        <f>IF(+I14&lt;F63,I14,D64)</f>
        <v>0</v>
      </c>
      <c r="F64" s="55">
        <f t="shared" si="27"/>
        <v>0</v>
      </c>
      <c r="G64" s="355">
        <f t="shared" si="25"/>
        <v>0</v>
      </c>
      <c r="H64" s="336">
        <f t="shared" si="26"/>
        <v>0</v>
      </c>
      <c r="I64" s="52">
        <f t="shared" si="28"/>
        <v>0</v>
      </c>
      <c r="J64" s="52"/>
      <c r="K64" s="115"/>
      <c r="L64" s="54">
        <f t="shared" si="29"/>
        <v>0</v>
      </c>
      <c r="M64" s="115"/>
      <c r="N64" s="54">
        <f t="shared" si="30"/>
        <v>0</v>
      </c>
      <c r="O64" s="54">
        <f t="shared" si="31"/>
        <v>0</v>
      </c>
      <c r="P64" s="1"/>
    </row>
    <row r="65" spans="2:16">
      <c r="B65" s="7" t="str">
        <f t="shared" si="32"/>
        <v/>
      </c>
      <c r="C65" s="50">
        <f>IF(D11="","-",+C64+1)</f>
        <v>2061</v>
      </c>
      <c r="D65" s="55">
        <f>IF(F64+SUM(E$17:E64)=D$10,F64,D$10-SUM(E$17:E64))</f>
        <v>0</v>
      </c>
      <c r="E65" s="354">
        <f>IF(+I14&lt;F64,I14,D65)</f>
        <v>0</v>
      </c>
      <c r="F65" s="55">
        <f t="shared" si="27"/>
        <v>0</v>
      </c>
      <c r="G65" s="355">
        <f t="shared" si="25"/>
        <v>0</v>
      </c>
      <c r="H65" s="336">
        <f t="shared" si="26"/>
        <v>0</v>
      </c>
      <c r="I65" s="52">
        <f t="shared" si="28"/>
        <v>0</v>
      </c>
      <c r="J65" s="52"/>
      <c r="K65" s="115"/>
      <c r="L65" s="54">
        <f t="shared" si="29"/>
        <v>0</v>
      </c>
      <c r="M65" s="115"/>
      <c r="N65" s="54">
        <f t="shared" si="30"/>
        <v>0</v>
      </c>
      <c r="O65" s="54">
        <f t="shared" si="31"/>
        <v>0</v>
      </c>
      <c r="P65" s="1"/>
    </row>
    <row r="66" spans="2:16">
      <c r="B66" s="7" t="str">
        <f t="shared" si="32"/>
        <v/>
      </c>
      <c r="C66" s="50">
        <f>IF(D11="","-",+C65+1)</f>
        <v>2062</v>
      </c>
      <c r="D66" s="55">
        <f>IF(F65+SUM(E$17:E65)=D$10,F65,D$10-SUM(E$17:E65))</f>
        <v>0</v>
      </c>
      <c r="E66" s="354">
        <f>IF(+I14&lt;F65,I14,D66)</f>
        <v>0</v>
      </c>
      <c r="F66" s="55">
        <f t="shared" si="27"/>
        <v>0</v>
      </c>
      <c r="G66" s="355">
        <f t="shared" si="25"/>
        <v>0</v>
      </c>
      <c r="H66" s="336">
        <f t="shared" si="26"/>
        <v>0</v>
      </c>
      <c r="I66" s="52">
        <f t="shared" si="28"/>
        <v>0</v>
      </c>
      <c r="J66" s="52"/>
      <c r="K66" s="115"/>
      <c r="L66" s="54">
        <f t="shared" si="29"/>
        <v>0</v>
      </c>
      <c r="M66" s="115"/>
      <c r="N66" s="54">
        <f t="shared" si="30"/>
        <v>0</v>
      </c>
      <c r="O66" s="54">
        <f t="shared" si="31"/>
        <v>0</v>
      </c>
      <c r="P66" s="1"/>
    </row>
    <row r="67" spans="2:16">
      <c r="B67" s="7" t="str">
        <f t="shared" si="32"/>
        <v/>
      </c>
      <c r="C67" s="50">
        <f>IF(D11="","-",+C66+1)</f>
        <v>2063</v>
      </c>
      <c r="D67" s="55">
        <f>IF(F66+SUM(E$17:E66)=D$10,F66,D$10-SUM(E$17:E66))</f>
        <v>0</v>
      </c>
      <c r="E67" s="354">
        <f>IF(+I14&lt;F66,I14,D67)</f>
        <v>0</v>
      </c>
      <c r="F67" s="55">
        <f t="shared" si="27"/>
        <v>0</v>
      </c>
      <c r="G67" s="355">
        <f t="shared" si="25"/>
        <v>0</v>
      </c>
      <c r="H67" s="336">
        <f t="shared" si="26"/>
        <v>0</v>
      </c>
      <c r="I67" s="52">
        <f t="shared" si="28"/>
        <v>0</v>
      </c>
      <c r="J67" s="52"/>
      <c r="K67" s="115"/>
      <c r="L67" s="54">
        <f t="shared" si="29"/>
        <v>0</v>
      </c>
      <c r="M67" s="115"/>
      <c r="N67" s="54">
        <f t="shared" si="30"/>
        <v>0</v>
      </c>
      <c r="O67" s="54">
        <f t="shared" si="31"/>
        <v>0</v>
      </c>
      <c r="P67" s="1"/>
    </row>
    <row r="68" spans="2:16">
      <c r="B68" s="7" t="str">
        <f t="shared" si="32"/>
        <v/>
      </c>
      <c r="C68" s="50">
        <f>IF(D11="","-",+C67+1)</f>
        <v>2064</v>
      </c>
      <c r="D68" s="55">
        <f>IF(F67+SUM(E$17:E67)=D$10,F67,D$10-SUM(E$17:E67))</f>
        <v>0</v>
      </c>
      <c r="E68" s="354">
        <f>IF(+I14&lt;F67,I14,D68)</f>
        <v>0</v>
      </c>
      <c r="F68" s="55">
        <f t="shared" si="27"/>
        <v>0</v>
      </c>
      <c r="G68" s="355">
        <f t="shared" si="25"/>
        <v>0</v>
      </c>
      <c r="H68" s="336">
        <f t="shared" si="26"/>
        <v>0</v>
      </c>
      <c r="I68" s="52">
        <f t="shared" si="28"/>
        <v>0</v>
      </c>
      <c r="J68" s="52"/>
      <c r="K68" s="115"/>
      <c r="L68" s="54">
        <f t="shared" si="29"/>
        <v>0</v>
      </c>
      <c r="M68" s="115"/>
      <c r="N68" s="54">
        <f t="shared" si="30"/>
        <v>0</v>
      </c>
      <c r="O68" s="54">
        <f t="shared" si="31"/>
        <v>0</v>
      </c>
      <c r="P68" s="1"/>
    </row>
    <row r="69" spans="2:16">
      <c r="B69" s="7" t="str">
        <f t="shared" si="32"/>
        <v/>
      </c>
      <c r="C69" s="50">
        <f>IF(D11="","-",+C68+1)</f>
        <v>2065</v>
      </c>
      <c r="D69" s="55">
        <f>IF(F68+SUM(E$17:E68)=D$10,F68,D$10-SUM(E$17:E68))</f>
        <v>0</v>
      </c>
      <c r="E69" s="354">
        <f>IF(+I14&lt;F68,I14,D69)</f>
        <v>0</v>
      </c>
      <c r="F69" s="55">
        <f t="shared" si="27"/>
        <v>0</v>
      </c>
      <c r="G69" s="355">
        <f t="shared" si="25"/>
        <v>0</v>
      </c>
      <c r="H69" s="336">
        <f t="shared" si="26"/>
        <v>0</v>
      </c>
      <c r="I69" s="52">
        <f t="shared" si="28"/>
        <v>0</v>
      </c>
      <c r="J69" s="52"/>
      <c r="K69" s="115"/>
      <c r="L69" s="54">
        <f t="shared" si="29"/>
        <v>0</v>
      </c>
      <c r="M69" s="115"/>
      <c r="N69" s="54">
        <f t="shared" si="30"/>
        <v>0</v>
      </c>
      <c r="O69" s="54">
        <f t="shared" si="31"/>
        <v>0</v>
      </c>
      <c r="P69" s="1"/>
    </row>
    <row r="70" spans="2:16">
      <c r="B70" s="7" t="str">
        <f t="shared" si="32"/>
        <v/>
      </c>
      <c r="C70" s="50">
        <f>IF(D11="","-",+C69+1)</f>
        <v>2066</v>
      </c>
      <c r="D70" s="55">
        <f>IF(F69+SUM(E$17:E69)=D$10,F69,D$10-SUM(E$17:E69))</f>
        <v>0</v>
      </c>
      <c r="E70" s="354">
        <f>IF(+I14&lt;F69,I14,D70)</f>
        <v>0</v>
      </c>
      <c r="F70" s="55">
        <f t="shared" si="27"/>
        <v>0</v>
      </c>
      <c r="G70" s="355">
        <f t="shared" si="25"/>
        <v>0</v>
      </c>
      <c r="H70" s="336">
        <f t="shared" si="26"/>
        <v>0</v>
      </c>
      <c r="I70" s="52">
        <f t="shared" si="28"/>
        <v>0</v>
      </c>
      <c r="J70" s="52"/>
      <c r="K70" s="115"/>
      <c r="L70" s="54">
        <f t="shared" si="29"/>
        <v>0</v>
      </c>
      <c r="M70" s="115"/>
      <c r="N70" s="54">
        <f t="shared" si="30"/>
        <v>0</v>
      </c>
      <c r="O70" s="54">
        <f t="shared" si="31"/>
        <v>0</v>
      </c>
      <c r="P70" s="1"/>
    </row>
    <row r="71" spans="2:16">
      <c r="B71" s="7" t="str">
        <f t="shared" si="32"/>
        <v/>
      </c>
      <c r="C71" s="50">
        <f>IF(D11="","-",+C70+1)</f>
        <v>2067</v>
      </c>
      <c r="D71" s="55">
        <f>IF(F70+SUM(E$17:E70)=D$10,F70,D$10-SUM(E$17:E70))</f>
        <v>0</v>
      </c>
      <c r="E71" s="354">
        <f>IF(+I14&lt;F70,I14,D71)</f>
        <v>0</v>
      </c>
      <c r="F71" s="55">
        <f t="shared" si="27"/>
        <v>0</v>
      </c>
      <c r="G71" s="355">
        <f t="shared" si="25"/>
        <v>0</v>
      </c>
      <c r="H71" s="336">
        <f t="shared" si="26"/>
        <v>0</v>
      </c>
      <c r="I71" s="52">
        <f t="shared" si="28"/>
        <v>0</v>
      </c>
      <c r="J71" s="52"/>
      <c r="K71" s="115"/>
      <c r="L71" s="54">
        <f t="shared" si="29"/>
        <v>0</v>
      </c>
      <c r="M71" s="115"/>
      <c r="N71" s="54">
        <f t="shared" si="30"/>
        <v>0</v>
      </c>
      <c r="O71" s="54">
        <f t="shared" si="31"/>
        <v>0</v>
      </c>
      <c r="P71" s="1"/>
    </row>
    <row r="72" spans="2:16" ht="13.5" thickBot="1">
      <c r="B72" s="7" t="str">
        <f t="shared" si="32"/>
        <v/>
      </c>
      <c r="C72" s="58">
        <f>IF(D11="","-",+C71+1)</f>
        <v>2068</v>
      </c>
      <c r="D72" s="59">
        <f>IF(F71+SUM(E$17:E71)=D$10,F71,D$10-SUM(E$17:E71))</f>
        <v>0</v>
      </c>
      <c r="E72" s="357">
        <f>IF(+I14&lt;F71,I14,D72)</f>
        <v>0</v>
      </c>
      <c r="F72" s="59">
        <f t="shared" si="27"/>
        <v>0</v>
      </c>
      <c r="G72" s="59">
        <f t="shared" si="25"/>
        <v>0</v>
      </c>
      <c r="H72" s="59">
        <f t="shared" si="26"/>
        <v>0</v>
      </c>
      <c r="I72" s="61">
        <f t="shared" si="28"/>
        <v>0</v>
      </c>
      <c r="J72" s="52"/>
      <c r="K72" s="116"/>
      <c r="L72" s="62">
        <f t="shared" si="29"/>
        <v>0</v>
      </c>
      <c r="M72" s="116"/>
      <c r="N72" s="62">
        <f t="shared" si="30"/>
        <v>0</v>
      </c>
      <c r="O72" s="62">
        <f t="shared" si="31"/>
        <v>0</v>
      </c>
      <c r="P72" s="1"/>
    </row>
    <row r="73" spans="2:16">
      <c r="C73" s="12" t="s">
        <v>77</v>
      </c>
      <c r="D73" s="266"/>
      <c r="E73" s="266">
        <f>SUM(E17:E72)</f>
        <v>3305766.9999999995</v>
      </c>
      <c r="F73" s="266"/>
      <c r="G73" s="266">
        <f>SUM(G17:G72)</f>
        <v>11589711.857128238</v>
      </c>
      <c r="H73" s="266">
        <f>SUM(H17:H72)</f>
        <v>11589711.857128238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12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363616.86842105264</v>
      </c>
      <c r="N87" s="364">
        <f>IF(J92&lt;D11,0,VLOOKUP(J92,C17:O72,11))</f>
        <v>363616.86842105264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417013.67915051954</v>
      </c>
      <c r="N88" s="367">
        <f>IF(J92&lt;D11,0,VLOOKUP(J92,C99:P154,7))</f>
        <v>417013.67915051954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Canadian River - McAlester City 138 kV Line Conversion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53396.810729466903</v>
      </c>
      <c r="N89" s="369">
        <f>+N88-N87</f>
        <v>53396.810729466903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TP2009095-PSO</v>
      </c>
      <c r="E91" s="74" t="str">
        <f>E9</f>
        <v xml:space="preserve">  SPP Project ID = 767</v>
      </c>
      <c r="F91" s="74"/>
      <c r="G91" s="74"/>
      <c r="H91" s="74"/>
      <c r="I91" s="74"/>
      <c r="J91" s="74"/>
    </row>
    <row r="92" spans="1:16">
      <c r="C92" s="128" t="s">
        <v>226</v>
      </c>
      <c r="D92" s="335">
        <f>+D10</f>
        <v>3305767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v>2013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v>8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89345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46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2013</v>
      </c>
      <c r="D99" s="405">
        <v>0</v>
      </c>
      <c r="E99" s="406">
        <v>1616</v>
      </c>
      <c r="F99" s="407">
        <v>502209</v>
      </c>
      <c r="G99" s="408">
        <v>251209</v>
      </c>
      <c r="H99" s="409">
        <v>37753</v>
      </c>
      <c r="I99" s="410">
        <v>37753</v>
      </c>
      <c r="J99" s="54">
        <f t="shared" ref="J99:J130" si="33">+I99-H99</f>
        <v>0</v>
      </c>
      <c r="K99" s="401"/>
      <c r="L99" s="394">
        <f t="shared" ref="L99:L104" si="34">H99</f>
        <v>37753</v>
      </c>
      <c r="M99" s="402">
        <f t="shared" ref="M99:M104" si="35">IF(L99&lt;&gt;0,+H99-L99,0)</f>
        <v>0</v>
      </c>
      <c r="N99" s="394">
        <f t="shared" ref="N99:N104" si="36">I99</f>
        <v>37753</v>
      </c>
      <c r="O99" s="63">
        <f t="shared" ref="O99:O104" si="37">IF(N99&lt;&gt;0,+I99-N99,0)</f>
        <v>0</v>
      </c>
      <c r="P99" s="53">
        <f t="shared" ref="P99:P104" si="38">+O99-M99</f>
        <v>0</v>
      </c>
    </row>
    <row r="100" spans="1:16">
      <c r="B100" s="7" t="str">
        <f t="shared" ref="B100:B131" si="39">IF(D100=F99,"","IU")</f>
        <v>IU</v>
      </c>
      <c r="C100" s="50">
        <f>IF(D93="","-",+C99+1)</f>
        <v>2014</v>
      </c>
      <c r="D100" s="411">
        <v>3240518</v>
      </c>
      <c r="E100" s="412">
        <v>62349</v>
      </c>
      <c r="F100" s="413">
        <v>3178169</v>
      </c>
      <c r="G100" s="413">
        <v>3209343.5</v>
      </c>
      <c r="H100" s="412">
        <v>524300.60020262119</v>
      </c>
      <c r="I100" s="414">
        <v>524300.60020262119</v>
      </c>
      <c r="J100" s="54">
        <v>0</v>
      </c>
      <c r="K100" s="401"/>
      <c r="L100" s="379">
        <f t="shared" si="34"/>
        <v>524300.60020262119</v>
      </c>
      <c r="M100" s="402">
        <f t="shared" si="35"/>
        <v>0</v>
      </c>
      <c r="N100" s="379">
        <f t="shared" si="36"/>
        <v>524300.60020262119</v>
      </c>
      <c r="O100" s="63">
        <f t="shared" si="37"/>
        <v>0</v>
      </c>
      <c r="P100" s="54">
        <f t="shared" si="38"/>
        <v>0</v>
      </c>
    </row>
    <row r="101" spans="1:16">
      <c r="B101" s="7" t="str">
        <f t="shared" si="39"/>
        <v>IU</v>
      </c>
      <c r="C101" s="50">
        <f>IF(D93="","-",+C100+1)</f>
        <v>2015</v>
      </c>
      <c r="D101" s="411">
        <v>3241802.14</v>
      </c>
      <c r="E101" s="412">
        <v>63572</v>
      </c>
      <c r="F101" s="413">
        <v>3178230.14</v>
      </c>
      <c r="G101" s="413">
        <v>3210016.14</v>
      </c>
      <c r="H101" s="412">
        <v>514887.14751698606</v>
      </c>
      <c r="I101" s="414">
        <v>514887.14751698606</v>
      </c>
      <c r="J101" s="54">
        <v>0</v>
      </c>
      <c r="K101" s="401"/>
      <c r="L101" s="379">
        <f t="shared" si="34"/>
        <v>514887.14751698606</v>
      </c>
      <c r="M101" s="402">
        <f t="shared" si="35"/>
        <v>0</v>
      </c>
      <c r="N101" s="379">
        <f t="shared" si="36"/>
        <v>514887.14751698606</v>
      </c>
      <c r="O101" s="63">
        <f t="shared" si="37"/>
        <v>0</v>
      </c>
      <c r="P101" s="54">
        <f t="shared" si="38"/>
        <v>0</v>
      </c>
    </row>
    <row r="102" spans="1:16">
      <c r="B102" s="7" t="str">
        <f t="shared" si="39"/>
        <v/>
      </c>
      <c r="C102" s="50">
        <f>IF(D93="","-",+C101+1)</f>
        <v>2016</v>
      </c>
      <c r="D102" s="411">
        <v>3178230.14</v>
      </c>
      <c r="E102" s="412">
        <v>63572</v>
      </c>
      <c r="F102" s="413">
        <v>3114658.14</v>
      </c>
      <c r="G102" s="413">
        <v>3146444.14</v>
      </c>
      <c r="H102" s="412">
        <v>492879.0042454137</v>
      </c>
      <c r="I102" s="414">
        <v>492879.0042454137</v>
      </c>
      <c r="J102" s="54">
        <f t="shared" si="33"/>
        <v>0</v>
      </c>
      <c r="K102" s="54"/>
      <c r="L102" s="379">
        <f t="shared" si="34"/>
        <v>492879.0042454137</v>
      </c>
      <c r="M102" s="402">
        <f t="shared" si="35"/>
        <v>0</v>
      </c>
      <c r="N102" s="379">
        <f t="shared" si="36"/>
        <v>492879.0042454137</v>
      </c>
      <c r="O102" s="63">
        <f t="shared" si="37"/>
        <v>0</v>
      </c>
      <c r="P102" s="54">
        <f t="shared" si="38"/>
        <v>0</v>
      </c>
    </row>
    <row r="103" spans="1:16">
      <c r="B103" s="7" t="str">
        <f t="shared" si="39"/>
        <v/>
      </c>
      <c r="C103" s="50">
        <f>IF(D93="","-",+C102+1)</f>
        <v>2017</v>
      </c>
      <c r="D103" s="411">
        <v>3114658.14</v>
      </c>
      <c r="E103" s="412">
        <v>71865</v>
      </c>
      <c r="F103" s="413">
        <v>3042793.14</v>
      </c>
      <c r="G103" s="413">
        <v>3078725.64</v>
      </c>
      <c r="H103" s="412">
        <v>468761.221459263</v>
      </c>
      <c r="I103" s="414">
        <v>468761.221459263</v>
      </c>
      <c r="J103" s="54">
        <f t="shared" si="33"/>
        <v>0</v>
      </c>
      <c r="K103" s="54"/>
      <c r="L103" s="379">
        <f t="shared" si="34"/>
        <v>468761.221459263</v>
      </c>
      <c r="M103" s="402">
        <f t="shared" si="35"/>
        <v>0</v>
      </c>
      <c r="N103" s="379">
        <f t="shared" si="36"/>
        <v>468761.221459263</v>
      </c>
      <c r="O103" s="63">
        <f t="shared" si="37"/>
        <v>0</v>
      </c>
      <c r="P103" s="54">
        <f t="shared" si="38"/>
        <v>0</v>
      </c>
    </row>
    <row r="104" spans="1:16">
      <c r="B104" s="7" t="str">
        <f t="shared" si="39"/>
        <v/>
      </c>
      <c r="C104" s="50">
        <f>IF(D93="","-",+C103+1)</f>
        <v>2018</v>
      </c>
      <c r="D104" s="411">
        <v>3042793.14</v>
      </c>
      <c r="E104" s="412">
        <v>71865</v>
      </c>
      <c r="F104" s="413">
        <v>2970928.14</v>
      </c>
      <c r="G104" s="413">
        <v>3006860.64</v>
      </c>
      <c r="H104" s="412">
        <v>453292.85398579738</v>
      </c>
      <c r="I104" s="414">
        <v>453292.85398579738</v>
      </c>
      <c r="J104" s="54">
        <f t="shared" si="33"/>
        <v>0</v>
      </c>
      <c r="K104" s="54"/>
      <c r="L104" s="379">
        <f t="shared" si="34"/>
        <v>453292.85398579738</v>
      </c>
      <c r="M104" s="402">
        <f t="shared" si="35"/>
        <v>0</v>
      </c>
      <c r="N104" s="379">
        <f t="shared" si="36"/>
        <v>453292.85398579738</v>
      </c>
      <c r="O104" s="63">
        <f t="shared" si="37"/>
        <v>0</v>
      </c>
      <c r="P104" s="54">
        <f t="shared" si="38"/>
        <v>0</v>
      </c>
    </row>
    <row r="105" spans="1:16">
      <c r="B105" s="7" t="str">
        <f t="shared" si="39"/>
        <v/>
      </c>
      <c r="C105" s="50">
        <f>IF(D93="","-",+C104+1)</f>
        <v>2019</v>
      </c>
      <c r="D105" s="411">
        <v>2970928.14</v>
      </c>
      <c r="E105" s="412">
        <v>76878</v>
      </c>
      <c r="F105" s="413">
        <v>2894050.14</v>
      </c>
      <c r="G105" s="413">
        <v>2932489.14</v>
      </c>
      <c r="H105" s="412">
        <v>378148.93401168124</v>
      </c>
      <c r="I105" s="414">
        <v>378148.93401168124</v>
      </c>
      <c r="J105" s="54">
        <f t="shared" si="33"/>
        <v>0</v>
      </c>
      <c r="K105" s="54"/>
      <c r="L105" s="379">
        <f t="shared" ref="L105" si="40">H105</f>
        <v>378148.93401168124</v>
      </c>
      <c r="M105" s="402">
        <f t="shared" ref="M105" si="41">IF(L105&lt;&gt;0,+H105-L105,0)</f>
        <v>0</v>
      </c>
      <c r="N105" s="379">
        <f t="shared" ref="N105" si="42">I105</f>
        <v>378148.93401168124</v>
      </c>
      <c r="O105" s="63">
        <f t="shared" ref="O105" si="43">IF(N105&lt;&gt;0,+I105-N105,0)</f>
        <v>0</v>
      </c>
      <c r="P105" s="54">
        <f t="shared" ref="P105" si="44">+O105-M105</f>
        <v>0</v>
      </c>
    </row>
    <row r="106" spans="1:16">
      <c r="B106" s="7" t="str">
        <f t="shared" si="39"/>
        <v/>
      </c>
      <c r="C106" s="50">
        <f>IF(D93="","-",+C105+1)</f>
        <v>2020</v>
      </c>
      <c r="D106" s="411">
        <v>2894050.14</v>
      </c>
      <c r="E106" s="412">
        <v>80628</v>
      </c>
      <c r="F106" s="413">
        <v>2813422.14</v>
      </c>
      <c r="G106" s="413">
        <v>2853736.14</v>
      </c>
      <c r="H106" s="412">
        <v>374888.22276719729</v>
      </c>
      <c r="I106" s="414">
        <v>374888.22276719729</v>
      </c>
      <c r="J106" s="54">
        <f t="shared" si="33"/>
        <v>0</v>
      </c>
      <c r="K106" s="54"/>
      <c r="L106" s="379">
        <f t="shared" ref="L106" si="45">H106</f>
        <v>374888.22276719729</v>
      </c>
      <c r="M106" s="402">
        <f t="shared" ref="M106" si="46">IF(L106&lt;&gt;0,+H106-L106,0)</f>
        <v>0</v>
      </c>
      <c r="N106" s="379">
        <f t="shared" ref="N106" si="47">I106</f>
        <v>374888.22276719729</v>
      </c>
      <c r="O106" s="54">
        <f t="shared" ref="O106:O130" si="48">IF(N106&lt;&gt;0,+I106-N106,0)</f>
        <v>0</v>
      </c>
      <c r="P106" s="54">
        <f t="shared" ref="P106:P130" si="49">+O106-M106</f>
        <v>0</v>
      </c>
    </row>
    <row r="107" spans="1:16">
      <c r="B107" s="7" t="str">
        <f t="shared" si="39"/>
        <v/>
      </c>
      <c r="C107" s="50">
        <f>IF(D93="","-",+C106+1)</f>
        <v>2021</v>
      </c>
      <c r="D107" s="411">
        <v>2813422.14</v>
      </c>
      <c r="E107" s="412">
        <v>76878</v>
      </c>
      <c r="F107" s="413">
        <v>2736544.14</v>
      </c>
      <c r="G107" s="413">
        <v>2774983.14</v>
      </c>
      <c r="H107" s="412">
        <v>396825.92685492127</v>
      </c>
      <c r="I107" s="414">
        <v>396825.92685492127</v>
      </c>
      <c r="J107" s="54">
        <f t="shared" si="33"/>
        <v>0</v>
      </c>
      <c r="K107" s="54"/>
      <c r="L107" s="379">
        <f t="shared" ref="L107" si="50">H107</f>
        <v>396825.92685492127</v>
      </c>
      <c r="M107" s="402">
        <f t="shared" ref="M107" si="51">IF(L107&lt;&gt;0,+H107-L107,0)</f>
        <v>0</v>
      </c>
      <c r="N107" s="379">
        <f t="shared" ref="N107" si="52">I107</f>
        <v>396825.92685492127</v>
      </c>
      <c r="O107" s="54">
        <f t="shared" si="48"/>
        <v>0</v>
      </c>
      <c r="P107" s="54">
        <f t="shared" si="49"/>
        <v>0</v>
      </c>
    </row>
    <row r="108" spans="1:16">
      <c r="B108" s="7" t="str">
        <f t="shared" si="39"/>
        <v/>
      </c>
      <c r="C108" s="50">
        <f>IF(D93="","-",+C107+1)</f>
        <v>2022</v>
      </c>
      <c r="D108" s="411">
        <v>2736544.14</v>
      </c>
      <c r="E108" s="412">
        <v>80628</v>
      </c>
      <c r="F108" s="413">
        <v>2655916.14</v>
      </c>
      <c r="G108" s="413">
        <v>2696230.14</v>
      </c>
      <c r="H108" s="412">
        <v>387439.55828621471</v>
      </c>
      <c r="I108" s="414">
        <v>387439.55828621471</v>
      </c>
      <c r="J108" s="54">
        <f t="shared" si="33"/>
        <v>0</v>
      </c>
      <c r="K108" s="54"/>
      <c r="L108" s="379">
        <f t="shared" ref="L108" si="53">H108</f>
        <v>387439.55828621471</v>
      </c>
      <c r="M108" s="402">
        <f t="shared" ref="M108" si="54">IF(L108&lt;&gt;0,+H108-L108,0)</f>
        <v>0</v>
      </c>
      <c r="N108" s="379">
        <f t="shared" ref="N108" si="55">I108</f>
        <v>387439.55828621471</v>
      </c>
      <c r="O108" s="54">
        <f t="shared" si="48"/>
        <v>0</v>
      </c>
      <c r="P108" s="54">
        <f t="shared" si="49"/>
        <v>0</v>
      </c>
    </row>
    <row r="109" spans="1:16">
      <c r="B109" s="7" t="str">
        <f t="shared" si="39"/>
        <v/>
      </c>
      <c r="C109" s="50">
        <f>IF(D93="","-",+C108+1)</f>
        <v>2023</v>
      </c>
      <c r="D109" s="411">
        <v>2655916.14</v>
      </c>
      <c r="E109" s="412">
        <v>84763</v>
      </c>
      <c r="F109" s="413">
        <v>2571153.14</v>
      </c>
      <c r="G109" s="413">
        <v>2613534.64</v>
      </c>
      <c r="H109" s="412">
        <v>372729.18001760636</v>
      </c>
      <c r="I109" s="414">
        <v>372729.18001760636</v>
      </c>
      <c r="J109" s="54">
        <f t="shared" si="33"/>
        <v>0</v>
      </c>
      <c r="K109" s="54"/>
      <c r="L109" s="379">
        <f t="shared" ref="L109" si="56">H109</f>
        <v>372729.18001760636</v>
      </c>
      <c r="M109" s="402">
        <f t="shared" ref="M109" si="57">IF(L109&lt;&gt;0,+H109-L109,0)</f>
        <v>0</v>
      </c>
      <c r="N109" s="379">
        <f t="shared" ref="N109" si="58">I109</f>
        <v>372729.18001760636</v>
      </c>
      <c r="O109" s="54">
        <f t="shared" ref="O109" si="59">IF(N109&lt;&gt;0,+I109-N109,0)</f>
        <v>0</v>
      </c>
      <c r="P109" s="54">
        <f t="shared" ref="P109" si="60">+O109-M109</f>
        <v>0</v>
      </c>
    </row>
    <row r="110" spans="1:16">
      <c r="B110" s="7" t="str">
        <f t="shared" si="39"/>
        <v>IU</v>
      </c>
      <c r="C110" s="50">
        <f>IF(D93="","-",+C109+1)</f>
        <v>2024</v>
      </c>
      <c r="D110" s="411">
        <v>2571153</v>
      </c>
      <c r="E110" s="412">
        <v>86994</v>
      </c>
      <c r="F110" s="413">
        <v>2484159</v>
      </c>
      <c r="G110" s="413">
        <v>2527656</v>
      </c>
      <c r="H110" s="412">
        <v>375720.69601794594</v>
      </c>
      <c r="I110" s="414">
        <v>375720.69601794594</v>
      </c>
      <c r="J110" s="54">
        <f t="shared" si="33"/>
        <v>0</v>
      </c>
      <c r="K110" s="54"/>
      <c r="L110" s="379">
        <f t="shared" ref="L110" si="61">H110</f>
        <v>375720.69601794594</v>
      </c>
      <c r="M110" s="402">
        <f t="shared" ref="M110" si="62">IF(L110&lt;&gt;0,+H110-L110,0)</f>
        <v>0</v>
      </c>
      <c r="N110" s="379">
        <f t="shared" ref="N110" si="63">I110</f>
        <v>375720.69601794594</v>
      </c>
      <c r="O110" s="54">
        <f t="shared" ref="O110" si="64">IF(N110&lt;&gt;0,+I110-N110,0)</f>
        <v>0</v>
      </c>
      <c r="P110" s="54">
        <f t="shared" ref="P110" si="65">+O110-M110</f>
        <v>0</v>
      </c>
    </row>
    <row r="111" spans="1:16">
      <c r="B111" s="7" t="str">
        <f t="shared" si="39"/>
        <v/>
      </c>
      <c r="C111" s="50">
        <f>IF(D93="","-",+C110+1)</f>
        <v>2025</v>
      </c>
      <c r="D111" s="411">
        <v>2484159</v>
      </c>
      <c r="E111" s="412">
        <v>89345</v>
      </c>
      <c r="F111" s="413">
        <v>2394814</v>
      </c>
      <c r="G111" s="413">
        <v>2439486.5</v>
      </c>
      <c r="H111" s="412">
        <v>417013.67915051954</v>
      </c>
      <c r="I111" s="414">
        <v>417013.67915051954</v>
      </c>
      <c r="J111" s="54">
        <f t="shared" si="33"/>
        <v>0</v>
      </c>
      <c r="K111" s="54"/>
      <c r="L111" s="379">
        <f t="shared" ref="L111" si="66">H111</f>
        <v>417013.67915051954</v>
      </c>
      <c r="M111" s="402">
        <f t="shared" ref="M111" si="67">IF(L111&lt;&gt;0,+H111-L111,0)</f>
        <v>0</v>
      </c>
      <c r="N111" s="379">
        <f t="shared" ref="N111" si="68">I111</f>
        <v>417013.67915051954</v>
      </c>
      <c r="O111" s="54">
        <f t="shared" ref="O111" si="69">IF(N111&lt;&gt;0,+I111-N111,0)</f>
        <v>0</v>
      </c>
      <c r="P111" s="54">
        <f t="shared" ref="P111" si="70">+O111-M111</f>
        <v>0</v>
      </c>
    </row>
    <row r="112" spans="1:16">
      <c r="B112" s="7" t="str">
        <f t="shared" si="39"/>
        <v/>
      </c>
      <c r="C112" s="50">
        <f>IF(D93="","-",+C111+1)</f>
        <v>2026</v>
      </c>
      <c r="D112" s="12">
        <f>IF(F111+SUM(E$99:E111)=D$92,F111,D$92-SUM(E$99:E111))</f>
        <v>2394814</v>
      </c>
      <c r="E112" s="355">
        <f t="shared" ref="E112:E154" si="71">IF(+J$96&lt;F111,J$96,D112)</f>
        <v>89345</v>
      </c>
      <c r="F112" s="55">
        <f t="shared" ref="F112:F154" si="72">+D112-E112</f>
        <v>2305469</v>
      </c>
      <c r="G112" s="55">
        <f t="shared" ref="G112:G154" si="73">+(F112+D112)/2</f>
        <v>2350141.5</v>
      </c>
      <c r="H112" s="355">
        <f t="shared" ref="H112:H153" si="74">(D112+F112)/2*J$94+E112</f>
        <v>370471.48005617323</v>
      </c>
      <c r="I112" s="381">
        <f t="shared" ref="I112:I153" si="75">+J$95*G112+E112</f>
        <v>370471.48005617323</v>
      </c>
      <c r="J112" s="54">
        <f t="shared" si="33"/>
        <v>0</v>
      </c>
      <c r="K112" s="54"/>
      <c r="L112" s="115"/>
      <c r="M112" s="54">
        <f t="shared" ref="M112:M130" si="76">IF(L112&lt;&gt;0,+H112-L112,0)</f>
        <v>0</v>
      </c>
      <c r="N112" s="115"/>
      <c r="O112" s="54">
        <f t="shared" si="48"/>
        <v>0</v>
      </c>
      <c r="P112" s="54">
        <f t="shared" si="49"/>
        <v>0</v>
      </c>
    </row>
    <row r="113" spans="2:16">
      <c r="B113" s="7" t="str">
        <f t="shared" si="39"/>
        <v/>
      </c>
      <c r="C113" s="50">
        <f>IF(D93="","-",+C112+1)</f>
        <v>2027</v>
      </c>
      <c r="D113" s="12">
        <f>IF(F112+SUM(E$99:E112)=D$92,F112,D$92-SUM(E$99:E112))</f>
        <v>2305469</v>
      </c>
      <c r="E113" s="355">
        <f t="shared" si="71"/>
        <v>89345</v>
      </c>
      <c r="F113" s="55">
        <f t="shared" si="72"/>
        <v>2216124</v>
      </c>
      <c r="G113" s="55">
        <f t="shared" si="73"/>
        <v>2260796.5</v>
      </c>
      <c r="H113" s="355">
        <f t="shared" si="74"/>
        <v>359783.93406772154</v>
      </c>
      <c r="I113" s="381">
        <f t="shared" si="75"/>
        <v>359783.93406772154</v>
      </c>
      <c r="J113" s="54">
        <f t="shared" si="33"/>
        <v>0</v>
      </c>
      <c r="K113" s="54"/>
      <c r="L113" s="115"/>
      <c r="M113" s="54">
        <f t="shared" si="76"/>
        <v>0</v>
      </c>
      <c r="N113" s="115"/>
      <c r="O113" s="54">
        <f t="shared" si="48"/>
        <v>0</v>
      </c>
      <c r="P113" s="54">
        <f t="shared" si="49"/>
        <v>0</v>
      </c>
    </row>
    <row r="114" spans="2:16">
      <c r="B114" s="7" t="str">
        <f t="shared" si="39"/>
        <v/>
      </c>
      <c r="C114" s="50">
        <f>IF(D93="","-",+C113+1)</f>
        <v>2028</v>
      </c>
      <c r="D114" s="12">
        <f>IF(F113+SUM(E$99:E113)=D$92,F113,D$92-SUM(E$99:E113))</f>
        <v>2216124</v>
      </c>
      <c r="E114" s="355">
        <f t="shared" si="71"/>
        <v>89345</v>
      </c>
      <c r="F114" s="55">
        <f t="shared" si="72"/>
        <v>2126779</v>
      </c>
      <c r="G114" s="55">
        <f t="shared" si="73"/>
        <v>2171451.5</v>
      </c>
      <c r="H114" s="355">
        <f t="shared" si="74"/>
        <v>349096.38807926985</v>
      </c>
      <c r="I114" s="381">
        <f t="shared" si="75"/>
        <v>349096.38807926985</v>
      </c>
      <c r="J114" s="54">
        <f t="shared" si="33"/>
        <v>0</v>
      </c>
      <c r="K114" s="54"/>
      <c r="L114" s="115"/>
      <c r="M114" s="54">
        <f t="shared" si="76"/>
        <v>0</v>
      </c>
      <c r="N114" s="115"/>
      <c r="O114" s="54">
        <f t="shared" si="48"/>
        <v>0</v>
      </c>
      <c r="P114" s="54">
        <f t="shared" si="49"/>
        <v>0</v>
      </c>
    </row>
    <row r="115" spans="2:16">
      <c r="B115" s="7" t="str">
        <f t="shared" si="39"/>
        <v/>
      </c>
      <c r="C115" s="50">
        <f>IF(D93="","-",+C114+1)</f>
        <v>2029</v>
      </c>
      <c r="D115" s="12">
        <f>IF(F114+SUM(E$99:E114)=D$92,F114,D$92-SUM(E$99:E114))</f>
        <v>2126779</v>
      </c>
      <c r="E115" s="355">
        <f t="shared" si="71"/>
        <v>89345</v>
      </c>
      <c r="F115" s="55">
        <f t="shared" si="72"/>
        <v>2037434</v>
      </c>
      <c r="G115" s="55">
        <f t="shared" si="73"/>
        <v>2082106.5</v>
      </c>
      <c r="H115" s="355">
        <f t="shared" si="74"/>
        <v>338408.84209081822</v>
      </c>
      <c r="I115" s="381">
        <f t="shared" si="75"/>
        <v>338408.84209081822</v>
      </c>
      <c r="J115" s="54">
        <f t="shared" si="33"/>
        <v>0</v>
      </c>
      <c r="K115" s="54"/>
      <c r="L115" s="115"/>
      <c r="M115" s="54">
        <f t="shared" si="76"/>
        <v>0</v>
      </c>
      <c r="N115" s="115"/>
      <c r="O115" s="54">
        <f t="shared" si="48"/>
        <v>0</v>
      </c>
      <c r="P115" s="54">
        <f t="shared" si="49"/>
        <v>0</v>
      </c>
    </row>
    <row r="116" spans="2:16">
      <c r="B116" s="7" t="str">
        <f t="shared" si="39"/>
        <v/>
      </c>
      <c r="C116" s="50">
        <f>IF(D93="","-",+C115+1)</f>
        <v>2030</v>
      </c>
      <c r="D116" s="12">
        <f>IF(F115+SUM(E$99:E115)=D$92,F115,D$92-SUM(E$99:E115))</f>
        <v>2037434</v>
      </c>
      <c r="E116" s="355">
        <f t="shared" si="71"/>
        <v>89345</v>
      </c>
      <c r="F116" s="55">
        <f t="shared" si="72"/>
        <v>1948089</v>
      </c>
      <c r="G116" s="55">
        <f t="shared" si="73"/>
        <v>1992761.5</v>
      </c>
      <c r="H116" s="355">
        <f t="shared" si="74"/>
        <v>327721.29610236653</v>
      </c>
      <c r="I116" s="381">
        <f t="shared" si="75"/>
        <v>327721.29610236653</v>
      </c>
      <c r="J116" s="54">
        <f t="shared" si="33"/>
        <v>0</v>
      </c>
      <c r="K116" s="54"/>
      <c r="L116" s="115"/>
      <c r="M116" s="54">
        <f t="shared" si="76"/>
        <v>0</v>
      </c>
      <c r="N116" s="115"/>
      <c r="O116" s="54">
        <f t="shared" si="48"/>
        <v>0</v>
      </c>
      <c r="P116" s="54">
        <f t="shared" si="49"/>
        <v>0</v>
      </c>
    </row>
    <row r="117" spans="2:16">
      <c r="B117" s="7" t="str">
        <f t="shared" si="39"/>
        <v/>
      </c>
      <c r="C117" s="50">
        <f>IF(D93="","-",+C116+1)</f>
        <v>2031</v>
      </c>
      <c r="D117" s="12">
        <f>IF(F116+SUM(E$99:E116)=D$92,F116,D$92-SUM(E$99:E116))</f>
        <v>1948089</v>
      </c>
      <c r="E117" s="355">
        <f t="shared" si="71"/>
        <v>89345</v>
      </c>
      <c r="F117" s="55">
        <f t="shared" si="72"/>
        <v>1858744</v>
      </c>
      <c r="G117" s="55">
        <f t="shared" si="73"/>
        <v>1903416.5</v>
      </c>
      <c r="H117" s="355">
        <f t="shared" si="74"/>
        <v>317033.75011391484</v>
      </c>
      <c r="I117" s="381">
        <f t="shared" si="75"/>
        <v>317033.75011391484</v>
      </c>
      <c r="J117" s="54">
        <f t="shared" si="33"/>
        <v>0</v>
      </c>
      <c r="K117" s="54"/>
      <c r="L117" s="115"/>
      <c r="M117" s="54">
        <f t="shared" si="76"/>
        <v>0</v>
      </c>
      <c r="N117" s="115"/>
      <c r="O117" s="54">
        <f t="shared" si="48"/>
        <v>0</v>
      </c>
      <c r="P117" s="54">
        <f t="shared" si="49"/>
        <v>0</v>
      </c>
    </row>
    <row r="118" spans="2:16">
      <c r="B118" s="7" t="str">
        <f t="shared" si="39"/>
        <v/>
      </c>
      <c r="C118" s="50">
        <f>IF(D93="","-",+C117+1)</f>
        <v>2032</v>
      </c>
      <c r="D118" s="12">
        <f>IF(F117+SUM(E$99:E117)=D$92,F117,D$92-SUM(E$99:E117))</f>
        <v>1858744</v>
      </c>
      <c r="E118" s="355">
        <f t="shared" si="71"/>
        <v>89345</v>
      </c>
      <c r="F118" s="55">
        <f t="shared" si="72"/>
        <v>1769399</v>
      </c>
      <c r="G118" s="55">
        <f t="shared" si="73"/>
        <v>1814071.5</v>
      </c>
      <c r="H118" s="355">
        <f t="shared" si="74"/>
        <v>306346.20412546315</v>
      </c>
      <c r="I118" s="381">
        <f t="shared" si="75"/>
        <v>306346.20412546315</v>
      </c>
      <c r="J118" s="54">
        <f t="shared" si="33"/>
        <v>0</v>
      </c>
      <c r="K118" s="54"/>
      <c r="L118" s="115"/>
      <c r="M118" s="54">
        <f t="shared" si="76"/>
        <v>0</v>
      </c>
      <c r="N118" s="115"/>
      <c r="O118" s="54">
        <f t="shared" si="48"/>
        <v>0</v>
      </c>
      <c r="P118" s="54">
        <f t="shared" si="49"/>
        <v>0</v>
      </c>
    </row>
    <row r="119" spans="2:16">
      <c r="B119" s="7" t="str">
        <f t="shared" si="39"/>
        <v/>
      </c>
      <c r="C119" s="50">
        <f>IF(D93="","-",+C118+1)</f>
        <v>2033</v>
      </c>
      <c r="D119" s="12">
        <f>IF(F118+SUM(E$99:E118)=D$92,F118,D$92-SUM(E$99:E118))</f>
        <v>1769399</v>
      </c>
      <c r="E119" s="355">
        <f t="shared" si="71"/>
        <v>89345</v>
      </c>
      <c r="F119" s="55">
        <f t="shared" si="72"/>
        <v>1680054</v>
      </c>
      <c r="G119" s="55">
        <f t="shared" si="73"/>
        <v>1724726.5</v>
      </c>
      <c r="H119" s="355">
        <f t="shared" si="74"/>
        <v>295658.65813701146</v>
      </c>
      <c r="I119" s="381">
        <f t="shared" si="75"/>
        <v>295658.65813701146</v>
      </c>
      <c r="J119" s="54">
        <f t="shared" si="33"/>
        <v>0</v>
      </c>
      <c r="K119" s="54"/>
      <c r="L119" s="115"/>
      <c r="M119" s="54">
        <f t="shared" si="76"/>
        <v>0</v>
      </c>
      <c r="N119" s="115"/>
      <c r="O119" s="54">
        <f t="shared" si="48"/>
        <v>0</v>
      </c>
      <c r="P119" s="54">
        <f t="shared" si="49"/>
        <v>0</v>
      </c>
    </row>
    <row r="120" spans="2:16">
      <c r="B120" s="7" t="str">
        <f t="shared" si="39"/>
        <v/>
      </c>
      <c r="C120" s="50">
        <f>IF(D93="","-",+C119+1)</f>
        <v>2034</v>
      </c>
      <c r="D120" s="12">
        <f>IF(F119+SUM(E$99:E119)=D$92,F119,D$92-SUM(E$99:E119))</f>
        <v>1680054</v>
      </c>
      <c r="E120" s="355">
        <f t="shared" si="71"/>
        <v>89345</v>
      </c>
      <c r="F120" s="55">
        <f t="shared" si="72"/>
        <v>1590709</v>
      </c>
      <c r="G120" s="55">
        <f t="shared" si="73"/>
        <v>1635381.5</v>
      </c>
      <c r="H120" s="355">
        <f t="shared" si="74"/>
        <v>284971.11214855983</v>
      </c>
      <c r="I120" s="381">
        <f t="shared" si="75"/>
        <v>284971.11214855983</v>
      </c>
      <c r="J120" s="54">
        <f t="shared" si="33"/>
        <v>0</v>
      </c>
      <c r="K120" s="54"/>
      <c r="L120" s="115"/>
      <c r="M120" s="54">
        <f t="shared" si="76"/>
        <v>0</v>
      </c>
      <c r="N120" s="115"/>
      <c r="O120" s="54">
        <f t="shared" si="48"/>
        <v>0</v>
      </c>
      <c r="P120" s="54">
        <f t="shared" si="49"/>
        <v>0</v>
      </c>
    </row>
    <row r="121" spans="2:16">
      <c r="B121" s="7" t="str">
        <f t="shared" si="39"/>
        <v/>
      </c>
      <c r="C121" s="50">
        <f>IF(D93="","-",+C120+1)</f>
        <v>2035</v>
      </c>
      <c r="D121" s="12">
        <f>IF(F120+SUM(E$99:E120)=D$92,F120,D$92-SUM(E$99:E120))</f>
        <v>1590709</v>
      </c>
      <c r="E121" s="355">
        <f t="shared" si="71"/>
        <v>89345</v>
      </c>
      <c r="F121" s="55">
        <f t="shared" si="72"/>
        <v>1501364</v>
      </c>
      <c r="G121" s="55">
        <f t="shared" si="73"/>
        <v>1546036.5</v>
      </c>
      <c r="H121" s="355">
        <f t="shared" si="74"/>
        <v>274283.5661601082</v>
      </c>
      <c r="I121" s="381">
        <f t="shared" si="75"/>
        <v>274283.5661601082</v>
      </c>
      <c r="J121" s="54">
        <f t="shared" si="33"/>
        <v>0</v>
      </c>
      <c r="K121" s="54"/>
      <c r="L121" s="115"/>
      <c r="M121" s="54">
        <f t="shared" si="76"/>
        <v>0</v>
      </c>
      <c r="N121" s="115"/>
      <c r="O121" s="54">
        <f t="shared" si="48"/>
        <v>0</v>
      </c>
      <c r="P121" s="54">
        <f t="shared" si="49"/>
        <v>0</v>
      </c>
    </row>
    <row r="122" spans="2:16">
      <c r="B122" s="7" t="str">
        <f t="shared" si="39"/>
        <v/>
      </c>
      <c r="C122" s="50">
        <f>IF(D93="","-",+C121+1)</f>
        <v>2036</v>
      </c>
      <c r="D122" s="12">
        <f>IF(F121+SUM(E$99:E121)=D$92,F121,D$92-SUM(E$99:E121))</f>
        <v>1501364</v>
      </c>
      <c r="E122" s="355">
        <f t="shared" si="71"/>
        <v>89345</v>
      </c>
      <c r="F122" s="55">
        <f t="shared" si="72"/>
        <v>1412019</v>
      </c>
      <c r="G122" s="55">
        <f t="shared" si="73"/>
        <v>1456691.5</v>
      </c>
      <c r="H122" s="355">
        <f t="shared" si="74"/>
        <v>263596.02017165651</v>
      </c>
      <c r="I122" s="381">
        <f t="shared" si="75"/>
        <v>263596.02017165651</v>
      </c>
      <c r="J122" s="54">
        <f t="shared" si="33"/>
        <v>0</v>
      </c>
      <c r="K122" s="54"/>
      <c r="L122" s="115"/>
      <c r="M122" s="54">
        <f t="shared" si="76"/>
        <v>0</v>
      </c>
      <c r="N122" s="115"/>
      <c r="O122" s="54">
        <f t="shared" si="48"/>
        <v>0</v>
      </c>
      <c r="P122" s="54">
        <f t="shared" si="49"/>
        <v>0</v>
      </c>
    </row>
    <row r="123" spans="2:16">
      <c r="B123" s="7" t="str">
        <f t="shared" si="39"/>
        <v/>
      </c>
      <c r="C123" s="50">
        <f>IF(D93="","-",+C122+1)</f>
        <v>2037</v>
      </c>
      <c r="D123" s="12">
        <f>IF(F122+SUM(E$99:E122)=D$92,F122,D$92-SUM(E$99:E122))</f>
        <v>1412019</v>
      </c>
      <c r="E123" s="355">
        <f t="shared" si="71"/>
        <v>89345</v>
      </c>
      <c r="F123" s="55">
        <f t="shared" si="72"/>
        <v>1322674</v>
      </c>
      <c r="G123" s="55">
        <f t="shared" si="73"/>
        <v>1367346.5</v>
      </c>
      <c r="H123" s="355">
        <f t="shared" si="74"/>
        <v>252908.47418320482</v>
      </c>
      <c r="I123" s="381">
        <f t="shared" si="75"/>
        <v>252908.47418320482</v>
      </c>
      <c r="J123" s="54">
        <f t="shared" si="33"/>
        <v>0</v>
      </c>
      <c r="K123" s="54"/>
      <c r="L123" s="115"/>
      <c r="M123" s="54">
        <f t="shared" si="76"/>
        <v>0</v>
      </c>
      <c r="N123" s="115"/>
      <c r="O123" s="54">
        <f t="shared" si="48"/>
        <v>0</v>
      </c>
      <c r="P123" s="54">
        <f t="shared" si="49"/>
        <v>0</v>
      </c>
    </row>
    <row r="124" spans="2:16">
      <c r="B124" s="7" t="str">
        <f t="shared" si="39"/>
        <v/>
      </c>
      <c r="C124" s="50">
        <f>IF(D93="","-",+C123+1)</f>
        <v>2038</v>
      </c>
      <c r="D124" s="12">
        <f>IF(F123+SUM(E$99:E123)=D$92,F123,D$92-SUM(E$99:E123))</f>
        <v>1322674</v>
      </c>
      <c r="E124" s="355">
        <f t="shared" si="71"/>
        <v>89345</v>
      </c>
      <c r="F124" s="55">
        <f t="shared" si="72"/>
        <v>1233329</v>
      </c>
      <c r="G124" s="55">
        <f t="shared" si="73"/>
        <v>1278001.5</v>
      </c>
      <c r="H124" s="355">
        <f t="shared" si="74"/>
        <v>242220.92819475313</v>
      </c>
      <c r="I124" s="381">
        <f t="shared" si="75"/>
        <v>242220.92819475313</v>
      </c>
      <c r="J124" s="54">
        <f t="shared" si="33"/>
        <v>0</v>
      </c>
      <c r="K124" s="54"/>
      <c r="L124" s="115"/>
      <c r="M124" s="54">
        <f t="shared" si="76"/>
        <v>0</v>
      </c>
      <c r="N124" s="115"/>
      <c r="O124" s="54">
        <f t="shared" si="48"/>
        <v>0</v>
      </c>
      <c r="P124" s="54">
        <f t="shared" si="49"/>
        <v>0</v>
      </c>
    </row>
    <row r="125" spans="2:16">
      <c r="B125" s="7" t="str">
        <f t="shared" si="39"/>
        <v/>
      </c>
      <c r="C125" s="50">
        <f>IF(D93="","-",+C124+1)</f>
        <v>2039</v>
      </c>
      <c r="D125" s="12">
        <f>IF(F124+SUM(E$99:E124)=D$92,F124,D$92-SUM(E$99:E124))</f>
        <v>1233329</v>
      </c>
      <c r="E125" s="355">
        <f t="shared" si="71"/>
        <v>89345</v>
      </c>
      <c r="F125" s="55">
        <f t="shared" si="72"/>
        <v>1143984</v>
      </c>
      <c r="G125" s="55">
        <f t="shared" si="73"/>
        <v>1188656.5</v>
      </c>
      <c r="H125" s="355">
        <f t="shared" si="74"/>
        <v>231533.38220630147</v>
      </c>
      <c r="I125" s="381">
        <f t="shared" si="75"/>
        <v>231533.38220630147</v>
      </c>
      <c r="J125" s="54">
        <f t="shared" si="33"/>
        <v>0</v>
      </c>
      <c r="K125" s="54"/>
      <c r="L125" s="115"/>
      <c r="M125" s="54">
        <f t="shared" si="76"/>
        <v>0</v>
      </c>
      <c r="N125" s="115"/>
      <c r="O125" s="54">
        <f t="shared" si="48"/>
        <v>0</v>
      </c>
      <c r="P125" s="54">
        <f t="shared" si="49"/>
        <v>0</v>
      </c>
    </row>
    <row r="126" spans="2:16">
      <c r="B126" s="7" t="str">
        <f t="shared" si="39"/>
        <v/>
      </c>
      <c r="C126" s="50">
        <f>IF(D93="","-",+C125+1)</f>
        <v>2040</v>
      </c>
      <c r="D126" s="12">
        <f>IF(F125+SUM(E$99:E125)=D$92,F125,D$92-SUM(E$99:E125))</f>
        <v>1143984</v>
      </c>
      <c r="E126" s="355">
        <f t="shared" si="71"/>
        <v>89345</v>
      </c>
      <c r="F126" s="55">
        <f t="shared" si="72"/>
        <v>1054639</v>
      </c>
      <c r="G126" s="55">
        <f t="shared" si="73"/>
        <v>1099311.5</v>
      </c>
      <c r="H126" s="355">
        <f t="shared" si="74"/>
        <v>220845.83621784981</v>
      </c>
      <c r="I126" s="381">
        <f t="shared" si="75"/>
        <v>220845.83621784981</v>
      </c>
      <c r="J126" s="54">
        <f t="shared" si="33"/>
        <v>0</v>
      </c>
      <c r="K126" s="54"/>
      <c r="L126" s="115"/>
      <c r="M126" s="54">
        <f t="shared" si="76"/>
        <v>0</v>
      </c>
      <c r="N126" s="115"/>
      <c r="O126" s="54">
        <f t="shared" si="48"/>
        <v>0</v>
      </c>
      <c r="P126" s="54">
        <f t="shared" si="49"/>
        <v>0</v>
      </c>
    </row>
    <row r="127" spans="2:16">
      <c r="B127" s="7" t="str">
        <f t="shared" si="39"/>
        <v/>
      </c>
      <c r="C127" s="50">
        <f>IF(D93="","-",+C126+1)</f>
        <v>2041</v>
      </c>
      <c r="D127" s="12">
        <f>IF(F126+SUM(E$99:E126)=D$92,F126,D$92-SUM(E$99:E126))</f>
        <v>1054639</v>
      </c>
      <c r="E127" s="355">
        <f t="shared" si="71"/>
        <v>89345</v>
      </c>
      <c r="F127" s="55">
        <f t="shared" si="72"/>
        <v>965294</v>
      </c>
      <c r="G127" s="55">
        <f t="shared" si="73"/>
        <v>1009966.5</v>
      </c>
      <c r="H127" s="355">
        <f t="shared" si="74"/>
        <v>210158.29022939812</v>
      </c>
      <c r="I127" s="381">
        <f t="shared" si="75"/>
        <v>210158.29022939812</v>
      </c>
      <c r="J127" s="54">
        <f t="shared" si="33"/>
        <v>0</v>
      </c>
      <c r="K127" s="54"/>
      <c r="L127" s="115"/>
      <c r="M127" s="54">
        <f t="shared" si="76"/>
        <v>0</v>
      </c>
      <c r="N127" s="115"/>
      <c r="O127" s="54">
        <f t="shared" si="48"/>
        <v>0</v>
      </c>
      <c r="P127" s="54">
        <f t="shared" si="49"/>
        <v>0</v>
      </c>
    </row>
    <row r="128" spans="2:16">
      <c r="B128" s="7" t="str">
        <f t="shared" si="39"/>
        <v/>
      </c>
      <c r="C128" s="50">
        <f>IF(D93="","-",+C127+1)</f>
        <v>2042</v>
      </c>
      <c r="D128" s="12">
        <f>IF(F127+SUM(E$99:E127)=D$92,F127,D$92-SUM(E$99:E127))</f>
        <v>965294</v>
      </c>
      <c r="E128" s="355">
        <f t="shared" si="71"/>
        <v>89345</v>
      </c>
      <c r="F128" s="55">
        <f t="shared" si="72"/>
        <v>875949</v>
      </c>
      <c r="G128" s="55">
        <f t="shared" si="73"/>
        <v>920621.5</v>
      </c>
      <c r="H128" s="355">
        <f t="shared" si="74"/>
        <v>199470.74424094646</v>
      </c>
      <c r="I128" s="381">
        <f t="shared" si="75"/>
        <v>199470.74424094646</v>
      </c>
      <c r="J128" s="54">
        <f t="shared" si="33"/>
        <v>0</v>
      </c>
      <c r="K128" s="54"/>
      <c r="L128" s="115"/>
      <c r="M128" s="54">
        <f t="shared" si="76"/>
        <v>0</v>
      </c>
      <c r="N128" s="115"/>
      <c r="O128" s="54">
        <f t="shared" si="48"/>
        <v>0</v>
      </c>
      <c r="P128" s="54">
        <f t="shared" si="49"/>
        <v>0</v>
      </c>
    </row>
    <row r="129" spans="2:16">
      <c r="B129" s="7" t="str">
        <f t="shared" si="39"/>
        <v/>
      </c>
      <c r="C129" s="50">
        <f>IF(D93="","-",+C128+1)</f>
        <v>2043</v>
      </c>
      <c r="D129" s="12">
        <f>IF(F128+SUM(E$99:E128)=D$92,F128,D$92-SUM(E$99:E128))</f>
        <v>875949</v>
      </c>
      <c r="E129" s="355">
        <f t="shared" si="71"/>
        <v>89345</v>
      </c>
      <c r="F129" s="55">
        <f t="shared" si="72"/>
        <v>786604</v>
      </c>
      <c r="G129" s="55">
        <f t="shared" si="73"/>
        <v>831276.5</v>
      </c>
      <c r="H129" s="355">
        <f t="shared" si="74"/>
        <v>188783.1982524948</v>
      </c>
      <c r="I129" s="381">
        <f t="shared" si="75"/>
        <v>188783.1982524948</v>
      </c>
      <c r="J129" s="54">
        <f t="shared" si="33"/>
        <v>0</v>
      </c>
      <c r="K129" s="54"/>
      <c r="L129" s="115"/>
      <c r="M129" s="54">
        <f t="shared" si="76"/>
        <v>0</v>
      </c>
      <c r="N129" s="115"/>
      <c r="O129" s="54">
        <f t="shared" si="48"/>
        <v>0</v>
      </c>
      <c r="P129" s="54">
        <f t="shared" si="49"/>
        <v>0</v>
      </c>
    </row>
    <row r="130" spans="2:16">
      <c r="B130" s="7" t="str">
        <f t="shared" si="39"/>
        <v/>
      </c>
      <c r="C130" s="50">
        <f>IF(D93="","-",+C129+1)</f>
        <v>2044</v>
      </c>
      <c r="D130" s="12">
        <f>IF(F129+SUM(E$99:E129)=D$92,F129,D$92-SUM(E$99:E129))</f>
        <v>786604</v>
      </c>
      <c r="E130" s="355">
        <f t="shared" si="71"/>
        <v>89345</v>
      </c>
      <c r="F130" s="55">
        <f t="shared" si="72"/>
        <v>697259</v>
      </c>
      <c r="G130" s="55">
        <f t="shared" si="73"/>
        <v>741931.5</v>
      </c>
      <c r="H130" s="355">
        <f t="shared" si="74"/>
        <v>178095.65226404311</v>
      </c>
      <c r="I130" s="381">
        <f t="shared" si="75"/>
        <v>178095.65226404311</v>
      </c>
      <c r="J130" s="54">
        <f t="shared" si="33"/>
        <v>0</v>
      </c>
      <c r="K130" s="54"/>
      <c r="L130" s="115"/>
      <c r="M130" s="54">
        <f t="shared" si="76"/>
        <v>0</v>
      </c>
      <c r="N130" s="115"/>
      <c r="O130" s="54">
        <f t="shared" si="48"/>
        <v>0</v>
      </c>
      <c r="P130" s="54">
        <f t="shared" si="49"/>
        <v>0</v>
      </c>
    </row>
    <row r="131" spans="2:16">
      <c r="B131" s="7" t="str">
        <f t="shared" si="39"/>
        <v/>
      </c>
      <c r="C131" s="50">
        <f>IF(D93="","-",+C130+1)</f>
        <v>2045</v>
      </c>
      <c r="D131" s="12">
        <f>IF(F130+SUM(E$99:E130)=D$92,F130,D$92-SUM(E$99:E130))</f>
        <v>697259</v>
      </c>
      <c r="E131" s="355">
        <f t="shared" si="71"/>
        <v>89345</v>
      </c>
      <c r="F131" s="55">
        <f t="shared" si="72"/>
        <v>607914</v>
      </c>
      <c r="G131" s="55">
        <f t="shared" si="73"/>
        <v>652586.5</v>
      </c>
      <c r="H131" s="355">
        <f t="shared" si="74"/>
        <v>167408.10627559142</v>
      </c>
      <c r="I131" s="381">
        <f t="shared" si="75"/>
        <v>167408.10627559142</v>
      </c>
      <c r="J131" s="54">
        <f t="shared" ref="J131:J154" si="77">+I541-H541</f>
        <v>0</v>
      </c>
      <c r="K131" s="54"/>
      <c r="L131" s="115"/>
      <c r="M131" s="54">
        <f t="shared" ref="M131:M154" si="78">IF(L541&lt;&gt;0,+H541-L541,0)</f>
        <v>0</v>
      </c>
      <c r="N131" s="115"/>
      <c r="O131" s="54">
        <f t="shared" ref="O131:O154" si="79">IF(N541&lt;&gt;0,+I541-N541,0)</f>
        <v>0</v>
      </c>
      <c r="P131" s="54">
        <f t="shared" ref="P131:P154" si="80">+O541-M541</f>
        <v>0</v>
      </c>
    </row>
    <row r="132" spans="2:16">
      <c r="B132" s="7" t="str">
        <f t="shared" ref="B132:B154" si="81">IF(D132=F131,"","IU")</f>
        <v/>
      </c>
      <c r="C132" s="50">
        <f>IF(D93="","-",+C131+1)</f>
        <v>2046</v>
      </c>
      <c r="D132" s="12">
        <f>IF(F131+SUM(E$99:E131)=D$92,F131,D$92-SUM(E$99:E131))</f>
        <v>607914</v>
      </c>
      <c r="E132" s="355">
        <f t="shared" si="71"/>
        <v>89345</v>
      </c>
      <c r="F132" s="55">
        <f t="shared" si="72"/>
        <v>518569</v>
      </c>
      <c r="G132" s="55">
        <f t="shared" si="73"/>
        <v>563241.5</v>
      </c>
      <c r="H132" s="355">
        <f t="shared" si="74"/>
        <v>156720.56028713979</v>
      </c>
      <c r="I132" s="381">
        <f t="shared" si="75"/>
        <v>156720.56028713979</v>
      </c>
      <c r="J132" s="54">
        <f t="shared" si="77"/>
        <v>0</v>
      </c>
      <c r="K132" s="54"/>
      <c r="L132" s="115"/>
      <c r="M132" s="54">
        <f t="shared" si="78"/>
        <v>0</v>
      </c>
      <c r="N132" s="115"/>
      <c r="O132" s="54">
        <f t="shared" si="79"/>
        <v>0</v>
      </c>
      <c r="P132" s="54">
        <f t="shared" si="80"/>
        <v>0</v>
      </c>
    </row>
    <row r="133" spans="2:16">
      <c r="B133" s="7" t="str">
        <f t="shared" si="81"/>
        <v/>
      </c>
      <c r="C133" s="50">
        <f>IF(D93="","-",+C132+1)</f>
        <v>2047</v>
      </c>
      <c r="D133" s="12">
        <f>IF(F132+SUM(E$99:E132)=D$92,F132,D$92-SUM(E$99:E132))</f>
        <v>518569</v>
      </c>
      <c r="E133" s="355">
        <f t="shared" si="71"/>
        <v>89345</v>
      </c>
      <c r="F133" s="55">
        <f t="shared" si="72"/>
        <v>429224</v>
      </c>
      <c r="G133" s="55">
        <f t="shared" si="73"/>
        <v>473896.5</v>
      </c>
      <c r="H133" s="355">
        <f t="shared" si="74"/>
        <v>146033.0142986881</v>
      </c>
      <c r="I133" s="381">
        <f t="shared" si="75"/>
        <v>146033.0142986881</v>
      </c>
      <c r="J133" s="54">
        <f t="shared" si="77"/>
        <v>0</v>
      </c>
      <c r="K133" s="54"/>
      <c r="L133" s="115"/>
      <c r="M133" s="54">
        <f t="shared" si="78"/>
        <v>0</v>
      </c>
      <c r="N133" s="115"/>
      <c r="O133" s="54">
        <f t="shared" si="79"/>
        <v>0</v>
      </c>
      <c r="P133" s="54">
        <f t="shared" si="80"/>
        <v>0</v>
      </c>
    </row>
    <row r="134" spans="2:16">
      <c r="B134" s="7" t="str">
        <f t="shared" si="81"/>
        <v/>
      </c>
      <c r="C134" s="50">
        <f>IF(D93="","-",+C133+1)</f>
        <v>2048</v>
      </c>
      <c r="D134" s="12">
        <f>IF(F133+SUM(E$99:E133)=D$92,F133,D$92-SUM(E$99:E133))</f>
        <v>429224</v>
      </c>
      <c r="E134" s="355">
        <f t="shared" si="71"/>
        <v>89345</v>
      </c>
      <c r="F134" s="55">
        <f t="shared" si="72"/>
        <v>339879</v>
      </c>
      <c r="G134" s="55">
        <f t="shared" si="73"/>
        <v>384551.5</v>
      </c>
      <c r="H134" s="355">
        <f t="shared" si="74"/>
        <v>135345.46831023641</v>
      </c>
      <c r="I134" s="381">
        <f t="shared" si="75"/>
        <v>135345.46831023641</v>
      </c>
      <c r="J134" s="54">
        <f t="shared" si="77"/>
        <v>0</v>
      </c>
      <c r="K134" s="54"/>
      <c r="L134" s="115"/>
      <c r="M134" s="54">
        <f t="shared" si="78"/>
        <v>0</v>
      </c>
      <c r="N134" s="115"/>
      <c r="O134" s="54">
        <f t="shared" si="79"/>
        <v>0</v>
      </c>
      <c r="P134" s="54">
        <f t="shared" si="80"/>
        <v>0</v>
      </c>
    </row>
    <row r="135" spans="2:16">
      <c r="B135" s="7" t="str">
        <f t="shared" si="81"/>
        <v/>
      </c>
      <c r="C135" s="50">
        <f>IF(D93="","-",+C134+1)</f>
        <v>2049</v>
      </c>
      <c r="D135" s="12">
        <f>IF(F134+SUM(E$99:E134)=D$92,F134,D$92-SUM(E$99:E134))</f>
        <v>339879</v>
      </c>
      <c r="E135" s="355">
        <f t="shared" si="71"/>
        <v>89345</v>
      </c>
      <c r="F135" s="55">
        <f t="shared" si="72"/>
        <v>250534</v>
      </c>
      <c r="G135" s="55">
        <f t="shared" si="73"/>
        <v>295206.5</v>
      </c>
      <c r="H135" s="355">
        <f t="shared" si="74"/>
        <v>124657.92232178475</v>
      </c>
      <c r="I135" s="381">
        <f t="shared" si="75"/>
        <v>124657.92232178475</v>
      </c>
      <c r="J135" s="54">
        <f t="shared" si="77"/>
        <v>0</v>
      </c>
      <c r="K135" s="54"/>
      <c r="L135" s="115"/>
      <c r="M135" s="54">
        <f t="shared" si="78"/>
        <v>0</v>
      </c>
      <c r="N135" s="115"/>
      <c r="O135" s="54">
        <f t="shared" si="79"/>
        <v>0</v>
      </c>
      <c r="P135" s="54">
        <f t="shared" si="80"/>
        <v>0</v>
      </c>
    </row>
    <row r="136" spans="2:16">
      <c r="B136" s="7" t="str">
        <f t="shared" si="81"/>
        <v/>
      </c>
      <c r="C136" s="50">
        <f>IF(D93="","-",+C135+1)</f>
        <v>2050</v>
      </c>
      <c r="D136" s="12">
        <f>IF(F135+SUM(E$99:E135)=D$92,F135,D$92-SUM(E$99:E135))</f>
        <v>250534</v>
      </c>
      <c r="E136" s="355">
        <f t="shared" si="71"/>
        <v>89345</v>
      </c>
      <c r="F136" s="55">
        <f t="shared" si="72"/>
        <v>161189</v>
      </c>
      <c r="G136" s="55">
        <f t="shared" si="73"/>
        <v>205861.5</v>
      </c>
      <c r="H136" s="355">
        <f t="shared" si="74"/>
        <v>113970.37633333309</v>
      </c>
      <c r="I136" s="381">
        <f t="shared" si="75"/>
        <v>113970.37633333309</v>
      </c>
      <c r="J136" s="54">
        <f t="shared" si="77"/>
        <v>0</v>
      </c>
      <c r="K136" s="54"/>
      <c r="L136" s="115"/>
      <c r="M136" s="54">
        <f t="shared" si="78"/>
        <v>0</v>
      </c>
      <c r="N136" s="115"/>
      <c r="O136" s="54">
        <f t="shared" si="79"/>
        <v>0</v>
      </c>
      <c r="P136" s="54">
        <f t="shared" si="80"/>
        <v>0</v>
      </c>
    </row>
    <row r="137" spans="2:16">
      <c r="B137" s="7" t="str">
        <f t="shared" si="81"/>
        <v/>
      </c>
      <c r="C137" s="50">
        <f>IF(D93="","-",+C136+1)</f>
        <v>2051</v>
      </c>
      <c r="D137" s="12">
        <f>IF(F136+SUM(E$99:E136)=D$92,F136,D$92-SUM(E$99:E136))</f>
        <v>161189</v>
      </c>
      <c r="E137" s="355">
        <f t="shared" si="71"/>
        <v>89345</v>
      </c>
      <c r="F137" s="55">
        <f t="shared" si="72"/>
        <v>71844</v>
      </c>
      <c r="G137" s="55">
        <f t="shared" si="73"/>
        <v>116516.5</v>
      </c>
      <c r="H137" s="355">
        <f t="shared" si="74"/>
        <v>103282.83034488141</v>
      </c>
      <c r="I137" s="381">
        <f t="shared" si="75"/>
        <v>103282.83034488141</v>
      </c>
      <c r="J137" s="54">
        <f t="shared" si="77"/>
        <v>0</v>
      </c>
      <c r="K137" s="54"/>
      <c r="L137" s="115"/>
      <c r="M137" s="54">
        <f t="shared" si="78"/>
        <v>0</v>
      </c>
      <c r="N137" s="115"/>
      <c r="O137" s="54">
        <f t="shared" si="79"/>
        <v>0</v>
      </c>
      <c r="P137" s="54">
        <f t="shared" si="80"/>
        <v>0</v>
      </c>
    </row>
    <row r="138" spans="2:16">
      <c r="B138" s="7" t="str">
        <f t="shared" si="81"/>
        <v/>
      </c>
      <c r="C138" s="50">
        <f>IF(D93="","-",+C137+1)</f>
        <v>2052</v>
      </c>
      <c r="D138" s="12">
        <f>IF(F137+SUM(E$99:E137)=D$92,F137,D$92-SUM(E$99:E137))</f>
        <v>71844</v>
      </c>
      <c r="E138" s="355">
        <f t="shared" si="71"/>
        <v>71844</v>
      </c>
      <c r="F138" s="55">
        <f t="shared" si="72"/>
        <v>0</v>
      </c>
      <c r="G138" s="55">
        <f t="shared" si="73"/>
        <v>35922</v>
      </c>
      <c r="H138" s="355">
        <f t="shared" si="74"/>
        <v>76141.028675327791</v>
      </c>
      <c r="I138" s="381">
        <f t="shared" si="75"/>
        <v>76141.028675327791</v>
      </c>
      <c r="J138" s="54">
        <f t="shared" si="77"/>
        <v>0</v>
      </c>
      <c r="K138" s="54"/>
      <c r="L138" s="115"/>
      <c r="M138" s="54">
        <f t="shared" si="78"/>
        <v>0</v>
      </c>
      <c r="N138" s="115"/>
      <c r="O138" s="54">
        <f t="shared" si="79"/>
        <v>0</v>
      </c>
      <c r="P138" s="54">
        <f t="shared" si="80"/>
        <v>0</v>
      </c>
    </row>
    <row r="139" spans="2:16">
      <c r="B139" s="7" t="str">
        <f t="shared" si="81"/>
        <v/>
      </c>
      <c r="C139" s="50">
        <f>IF(D93="","-",+C138+1)</f>
        <v>2053</v>
      </c>
      <c r="D139" s="12">
        <f>IF(F138+SUM(E$99:E138)=D$92,F138,D$92-SUM(E$99:E138))</f>
        <v>0</v>
      </c>
      <c r="E139" s="355">
        <f t="shared" si="71"/>
        <v>0</v>
      </c>
      <c r="F139" s="55">
        <f t="shared" si="72"/>
        <v>0</v>
      </c>
      <c r="G139" s="55">
        <f t="shared" si="73"/>
        <v>0</v>
      </c>
      <c r="H139" s="355">
        <f t="shared" si="74"/>
        <v>0</v>
      </c>
      <c r="I139" s="381">
        <f t="shared" si="75"/>
        <v>0</v>
      </c>
      <c r="J139" s="54">
        <f t="shared" si="77"/>
        <v>0</v>
      </c>
      <c r="K139" s="54"/>
      <c r="L139" s="115"/>
      <c r="M139" s="54">
        <f t="shared" si="78"/>
        <v>0</v>
      </c>
      <c r="N139" s="115"/>
      <c r="O139" s="54">
        <f t="shared" si="79"/>
        <v>0</v>
      </c>
      <c r="P139" s="54">
        <f t="shared" si="80"/>
        <v>0</v>
      </c>
    </row>
    <row r="140" spans="2:16">
      <c r="B140" s="7" t="str">
        <f t="shared" si="81"/>
        <v/>
      </c>
      <c r="C140" s="50">
        <f>IF(D93="","-",+C139+1)</f>
        <v>2054</v>
      </c>
      <c r="D140" s="12">
        <f>IF(F139+SUM(E$99:E139)=D$92,F139,D$92-SUM(E$99:E139))</f>
        <v>0</v>
      </c>
      <c r="E140" s="355">
        <f t="shared" si="71"/>
        <v>0</v>
      </c>
      <c r="F140" s="55">
        <f t="shared" si="72"/>
        <v>0</v>
      </c>
      <c r="G140" s="55">
        <f t="shared" si="73"/>
        <v>0</v>
      </c>
      <c r="H140" s="355">
        <f t="shared" si="74"/>
        <v>0</v>
      </c>
      <c r="I140" s="381">
        <f t="shared" si="75"/>
        <v>0</v>
      </c>
      <c r="J140" s="54">
        <f t="shared" si="77"/>
        <v>0</v>
      </c>
      <c r="K140" s="54"/>
      <c r="L140" s="115"/>
      <c r="M140" s="54">
        <f t="shared" si="78"/>
        <v>0</v>
      </c>
      <c r="N140" s="115"/>
      <c r="O140" s="54">
        <f t="shared" si="79"/>
        <v>0</v>
      </c>
      <c r="P140" s="54">
        <f t="shared" si="80"/>
        <v>0</v>
      </c>
    </row>
    <row r="141" spans="2:16">
      <c r="B141" s="7" t="str">
        <f t="shared" si="81"/>
        <v/>
      </c>
      <c r="C141" s="50">
        <f>IF(D93="","-",+C140+1)</f>
        <v>2055</v>
      </c>
      <c r="D141" s="12">
        <f>IF(F140+SUM(E$99:E140)=D$92,F140,D$92-SUM(E$99:E140))</f>
        <v>0</v>
      </c>
      <c r="E141" s="355">
        <f t="shared" si="71"/>
        <v>0</v>
      </c>
      <c r="F141" s="55">
        <f t="shared" si="72"/>
        <v>0</v>
      </c>
      <c r="G141" s="55">
        <f t="shared" si="73"/>
        <v>0</v>
      </c>
      <c r="H141" s="355">
        <f t="shared" si="74"/>
        <v>0</v>
      </c>
      <c r="I141" s="381">
        <f t="shared" si="75"/>
        <v>0</v>
      </c>
      <c r="J141" s="54">
        <f t="shared" si="77"/>
        <v>0</v>
      </c>
      <c r="K141" s="54"/>
      <c r="L141" s="115"/>
      <c r="M141" s="54">
        <f t="shared" si="78"/>
        <v>0</v>
      </c>
      <c r="N141" s="115"/>
      <c r="O141" s="54">
        <f t="shared" si="79"/>
        <v>0</v>
      </c>
      <c r="P141" s="54">
        <f t="shared" si="80"/>
        <v>0</v>
      </c>
    </row>
    <row r="142" spans="2:16">
      <c r="B142" s="7" t="str">
        <f t="shared" si="81"/>
        <v/>
      </c>
      <c r="C142" s="50">
        <f>IF(D93="","-",+C141+1)</f>
        <v>2056</v>
      </c>
      <c r="D142" s="12">
        <f>IF(F141+SUM(E$99:E141)=D$92,F141,D$92-SUM(E$99:E141))</f>
        <v>0</v>
      </c>
      <c r="E142" s="355">
        <f t="shared" si="71"/>
        <v>0</v>
      </c>
      <c r="F142" s="55">
        <f t="shared" si="72"/>
        <v>0</v>
      </c>
      <c r="G142" s="55">
        <f t="shared" si="73"/>
        <v>0</v>
      </c>
      <c r="H142" s="355">
        <f t="shared" si="74"/>
        <v>0</v>
      </c>
      <c r="I142" s="381">
        <f t="shared" si="75"/>
        <v>0</v>
      </c>
      <c r="J142" s="54">
        <f t="shared" si="77"/>
        <v>0</v>
      </c>
      <c r="K142" s="54"/>
      <c r="L142" s="115"/>
      <c r="M142" s="54">
        <f t="shared" si="78"/>
        <v>0</v>
      </c>
      <c r="N142" s="115"/>
      <c r="O142" s="54">
        <f t="shared" si="79"/>
        <v>0</v>
      </c>
      <c r="P142" s="54">
        <f t="shared" si="80"/>
        <v>0</v>
      </c>
    </row>
    <row r="143" spans="2:16">
      <c r="B143" s="7" t="str">
        <f t="shared" si="81"/>
        <v/>
      </c>
      <c r="C143" s="50">
        <f>IF(D93="","-",+C142+1)</f>
        <v>2057</v>
      </c>
      <c r="D143" s="12">
        <f>IF(F142+SUM(E$99:E142)=D$92,F142,D$92-SUM(E$99:E142))</f>
        <v>0</v>
      </c>
      <c r="E143" s="355">
        <f t="shared" si="71"/>
        <v>0</v>
      </c>
      <c r="F143" s="55">
        <f t="shared" si="72"/>
        <v>0</v>
      </c>
      <c r="G143" s="55">
        <f t="shared" si="73"/>
        <v>0</v>
      </c>
      <c r="H143" s="355">
        <f t="shared" si="74"/>
        <v>0</v>
      </c>
      <c r="I143" s="381">
        <f t="shared" si="75"/>
        <v>0</v>
      </c>
      <c r="J143" s="54">
        <f t="shared" si="77"/>
        <v>0</v>
      </c>
      <c r="K143" s="54"/>
      <c r="L143" s="115"/>
      <c r="M143" s="54">
        <f t="shared" si="78"/>
        <v>0</v>
      </c>
      <c r="N143" s="115"/>
      <c r="O143" s="54">
        <f t="shared" si="79"/>
        <v>0</v>
      </c>
      <c r="P143" s="54">
        <f t="shared" si="80"/>
        <v>0</v>
      </c>
    </row>
    <row r="144" spans="2:16">
      <c r="B144" s="7" t="str">
        <f t="shared" si="81"/>
        <v/>
      </c>
      <c r="C144" s="50">
        <f>IF(D93="","-",+C143+1)</f>
        <v>2058</v>
      </c>
      <c r="D144" s="12">
        <f>IF(F143+SUM(E$99:E143)=D$92,F143,D$92-SUM(E$99:E143))</f>
        <v>0</v>
      </c>
      <c r="E144" s="355">
        <f t="shared" si="71"/>
        <v>0</v>
      </c>
      <c r="F144" s="55">
        <f t="shared" si="72"/>
        <v>0</v>
      </c>
      <c r="G144" s="55">
        <f t="shared" si="73"/>
        <v>0</v>
      </c>
      <c r="H144" s="355">
        <f t="shared" si="74"/>
        <v>0</v>
      </c>
      <c r="I144" s="381">
        <f t="shared" si="75"/>
        <v>0</v>
      </c>
      <c r="J144" s="54">
        <f t="shared" si="77"/>
        <v>0</v>
      </c>
      <c r="K144" s="54"/>
      <c r="L144" s="115"/>
      <c r="M144" s="54">
        <f t="shared" si="78"/>
        <v>0</v>
      </c>
      <c r="N144" s="115"/>
      <c r="O144" s="54">
        <f t="shared" si="79"/>
        <v>0</v>
      </c>
      <c r="P144" s="54">
        <f t="shared" si="80"/>
        <v>0</v>
      </c>
    </row>
    <row r="145" spans="2:16">
      <c r="B145" s="7" t="str">
        <f t="shared" si="81"/>
        <v/>
      </c>
      <c r="C145" s="50">
        <f>IF(D93="","-",+C144+1)</f>
        <v>2059</v>
      </c>
      <c r="D145" s="12">
        <f>IF(F144+SUM(E$99:E144)=D$92,F144,D$92-SUM(E$99:E144))</f>
        <v>0</v>
      </c>
      <c r="E145" s="355">
        <f t="shared" si="71"/>
        <v>0</v>
      </c>
      <c r="F145" s="55">
        <f t="shared" si="72"/>
        <v>0</v>
      </c>
      <c r="G145" s="55">
        <f t="shared" si="73"/>
        <v>0</v>
      </c>
      <c r="H145" s="355">
        <f t="shared" si="74"/>
        <v>0</v>
      </c>
      <c r="I145" s="381">
        <f t="shared" si="75"/>
        <v>0</v>
      </c>
      <c r="J145" s="54">
        <f t="shared" si="77"/>
        <v>0</v>
      </c>
      <c r="K145" s="54"/>
      <c r="L145" s="115"/>
      <c r="M145" s="54">
        <f t="shared" si="78"/>
        <v>0</v>
      </c>
      <c r="N145" s="115"/>
      <c r="O145" s="54">
        <f t="shared" si="79"/>
        <v>0</v>
      </c>
      <c r="P145" s="54">
        <f t="shared" si="80"/>
        <v>0</v>
      </c>
    </row>
    <row r="146" spans="2:16">
      <c r="B146" s="7" t="str">
        <f t="shared" si="81"/>
        <v/>
      </c>
      <c r="C146" s="50">
        <f>IF(D93="","-",+C145+1)</f>
        <v>2060</v>
      </c>
      <c r="D146" s="12">
        <f>IF(F145+SUM(E$99:E145)=D$92,F145,D$92-SUM(E$99:E145))</f>
        <v>0</v>
      </c>
      <c r="E146" s="355">
        <f t="shared" si="71"/>
        <v>0</v>
      </c>
      <c r="F146" s="55">
        <f t="shared" si="72"/>
        <v>0</v>
      </c>
      <c r="G146" s="55">
        <f t="shared" si="73"/>
        <v>0</v>
      </c>
      <c r="H146" s="355">
        <f t="shared" si="74"/>
        <v>0</v>
      </c>
      <c r="I146" s="381">
        <f t="shared" si="75"/>
        <v>0</v>
      </c>
      <c r="J146" s="54">
        <f t="shared" si="77"/>
        <v>0</v>
      </c>
      <c r="K146" s="54"/>
      <c r="L146" s="115"/>
      <c r="M146" s="54">
        <f t="shared" si="78"/>
        <v>0</v>
      </c>
      <c r="N146" s="115"/>
      <c r="O146" s="54">
        <f t="shared" si="79"/>
        <v>0</v>
      </c>
      <c r="P146" s="54">
        <f t="shared" si="80"/>
        <v>0</v>
      </c>
    </row>
    <row r="147" spans="2:16">
      <c r="B147" s="7" t="str">
        <f t="shared" si="81"/>
        <v/>
      </c>
      <c r="C147" s="50">
        <f>IF(D93="","-",+C146+1)</f>
        <v>2061</v>
      </c>
      <c r="D147" s="12">
        <f>IF(F146+SUM(E$99:E146)=D$92,F146,D$92-SUM(E$99:E146))</f>
        <v>0</v>
      </c>
      <c r="E147" s="355">
        <f t="shared" si="71"/>
        <v>0</v>
      </c>
      <c r="F147" s="55">
        <f t="shared" si="72"/>
        <v>0</v>
      </c>
      <c r="G147" s="55">
        <f t="shared" si="73"/>
        <v>0</v>
      </c>
      <c r="H147" s="355">
        <f t="shared" si="74"/>
        <v>0</v>
      </c>
      <c r="I147" s="381">
        <f t="shared" si="75"/>
        <v>0</v>
      </c>
      <c r="J147" s="54">
        <f t="shared" si="77"/>
        <v>0</v>
      </c>
      <c r="K147" s="54"/>
      <c r="L147" s="115"/>
      <c r="M147" s="54">
        <f t="shared" si="78"/>
        <v>0</v>
      </c>
      <c r="N147" s="115"/>
      <c r="O147" s="54">
        <f t="shared" si="79"/>
        <v>0</v>
      </c>
      <c r="P147" s="54">
        <f t="shared" si="80"/>
        <v>0</v>
      </c>
    </row>
    <row r="148" spans="2:16">
      <c r="B148" s="7" t="str">
        <f t="shared" si="81"/>
        <v/>
      </c>
      <c r="C148" s="50">
        <f>IF(D93="","-",+C147+1)</f>
        <v>2062</v>
      </c>
      <c r="D148" s="12">
        <f>IF(F147+SUM(E$99:E147)=D$92,F147,D$92-SUM(E$99:E147))</f>
        <v>0</v>
      </c>
      <c r="E148" s="355">
        <f t="shared" si="71"/>
        <v>0</v>
      </c>
      <c r="F148" s="55">
        <f t="shared" si="72"/>
        <v>0</v>
      </c>
      <c r="G148" s="55">
        <f t="shared" si="73"/>
        <v>0</v>
      </c>
      <c r="H148" s="355">
        <f t="shared" si="74"/>
        <v>0</v>
      </c>
      <c r="I148" s="381">
        <f t="shared" si="75"/>
        <v>0</v>
      </c>
      <c r="J148" s="54">
        <f t="shared" si="77"/>
        <v>0</v>
      </c>
      <c r="K148" s="54"/>
      <c r="L148" s="115"/>
      <c r="M148" s="54">
        <f t="shared" si="78"/>
        <v>0</v>
      </c>
      <c r="N148" s="115"/>
      <c r="O148" s="54">
        <f t="shared" si="79"/>
        <v>0</v>
      </c>
      <c r="P148" s="54">
        <f t="shared" si="80"/>
        <v>0</v>
      </c>
    </row>
    <row r="149" spans="2:16">
      <c r="B149" s="7" t="str">
        <f t="shared" si="81"/>
        <v/>
      </c>
      <c r="C149" s="50">
        <f>IF(D93="","-",+C148+1)</f>
        <v>2063</v>
      </c>
      <c r="D149" s="12">
        <f>IF(F148+SUM(E$99:E148)=D$92,F148,D$92-SUM(E$99:E148))</f>
        <v>0</v>
      </c>
      <c r="E149" s="355">
        <f t="shared" si="71"/>
        <v>0</v>
      </c>
      <c r="F149" s="55">
        <f t="shared" si="72"/>
        <v>0</v>
      </c>
      <c r="G149" s="55">
        <f t="shared" si="73"/>
        <v>0</v>
      </c>
      <c r="H149" s="355">
        <f t="shared" si="74"/>
        <v>0</v>
      </c>
      <c r="I149" s="381">
        <f t="shared" si="75"/>
        <v>0</v>
      </c>
      <c r="J149" s="54">
        <f t="shared" si="77"/>
        <v>0</v>
      </c>
      <c r="K149" s="54"/>
      <c r="L149" s="115"/>
      <c r="M149" s="54">
        <f t="shared" si="78"/>
        <v>0</v>
      </c>
      <c r="N149" s="115"/>
      <c r="O149" s="54">
        <f t="shared" si="79"/>
        <v>0</v>
      </c>
      <c r="P149" s="54">
        <f t="shared" si="80"/>
        <v>0</v>
      </c>
    </row>
    <row r="150" spans="2:16">
      <c r="B150" s="7" t="str">
        <f t="shared" si="81"/>
        <v/>
      </c>
      <c r="C150" s="50">
        <f>IF(D93="","-",+C149+1)</f>
        <v>2064</v>
      </c>
      <c r="D150" s="12">
        <f>IF(F149+SUM(E$99:E149)=D$92,F149,D$92-SUM(E$99:E149))</f>
        <v>0</v>
      </c>
      <c r="E150" s="355">
        <f t="shared" si="71"/>
        <v>0</v>
      </c>
      <c r="F150" s="55">
        <f t="shared" si="72"/>
        <v>0</v>
      </c>
      <c r="G150" s="55">
        <f t="shared" si="73"/>
        <v>0</v>
      </c>
      <c r="H150" s="355">
        <f t="shared" si="74"/>
        <v>0</v>
      </c>
      <c r="I150" s="381">
        <f t="shared" si="75"/>
        <v>0</v>
      </c>
      <c r="J150" s="54">
        <f t="shared" si="77"/>
        <v>0</v>
      </c>
      <c r="K150" s="54"/>
      <c r="L150" s="115"/>
      <c r="M150" s="54">
        <f t="shared" si="78"/>
        <v>0</v>
      </c>
      <c r="N150" s="115"/>
      <c r="O150" s="54">
        <f t="shared" si="79"/>
        <v>0</v>
      </c>
      <c r="P150" s="54">
        <f t="shared" si="80"/>
        <v>0</v>
      </c>
    </row>
    <row r="151" spans="2:16">
      <c r="B151" s="7" t="str">
        <f t="shared" si="81"/>
        <v/>
      </c>
      <c r="C151" s="50">
        <f>IF(D93="","-",+C150+1)</f>
        <v>2065</v>
      </c>
      <c r="D151" s="12">
        <f>IF(F150+SUM(E$99:E150)=D$92,F150,D$92-SUM(E$99:E150))</f>
        <v>0</v>
      </c>
      <c r="E151" s="355">
        <f t="shared" si="71"/>
        <v>0</v>
      </c>
      <c r="F151" s="55">
        <f t="shared" si="72"/>
        <v>0</v>
      </c>
      <c r="G151" s="55">
        <f t="shared" si="73"/>
        <v>0</v>
      </c>
      <c r="H151" s="355">
        <f t="shared" si="74"/>
        <v>0</v>
      </c>
      <c r="I151" s="381">
        <f t="shared" si="75"/>
        <v>0</v>
      </c>
      <c r="J151" s="54">
        <f t="shared" si="77"/>
        <v>0</v>
      </c>
      <c r="K151" s="54"/>
      <c r="L151" s="115"/>
      <c r="M151" s="54">
        <f t="shared" si="78"/>
        <v>0</v>
      </c>
      <c r="N151" s="115"/>
      <c r="O151" s="54">
        <f t="shared" si="79"/>
        <v>0</v>
      </c>
      <c r="P151" s="54">
        <f t="shared" si="80"/>
        <v>0</v>
      </c>
    </row>
    <row r="152" spans="2:16">
      <c r="B152" s="7" t="str">
        <f t="shared" si="81"/>
        <v/>
      </c>
      <c r="C152" s="50">
        <f>IF(D93="","-",+C151+1)</f>
        <v>2066</v>
      </c>
      <c r="D152" s="12">
        <f>IF(F151+SUM(E$99:E151)=D$92,F151,D$92-SUM(E$99:E151))</f>
        <v>0</v>
      </c>
      <c r="E152" s="355">
        <f t="shared" si="71"/>
        <v>0</v>
      </c>
      <c r="F152" s="55">
        <f t="shared" si="72"/>
        <v>0</v>
      </c>
      <c r="G152" s="55">
        <f t="shared" si="73"/>
        <v>0</v>
      </c>
      <c r="H152" s="355">
        <f t="shared" si="74"/>
        <v>0</v>
      </c>
      <c r="I152" s="381">
        <f t="shared" si="75"/>
        <v>0</v>
      </c>
      <c r="J152" s="54">
        <f t="shared" si="77"/>
        <v>0</v>
      </c>
      <c r="K152" s="54"/>
      <c r="L152" s="115"/>
      <c r="M152" s="54">
        <f t="shared" si="78"/>
        <v>0</v>
      </c>
      <c r="N152" s="115"/>
      <c r="O152" s="54">
        <f t="shared" si="79"/>
        <v>0</v>
      </c>
      <c r="P152" s="54">
        <f t="shared" si="80"/>
        <v>0</v>
      </c>
    </row>
    <row r="153" spans="2:16">
      <c r="B153" s="7" t="str">
        <f t="shared" si="81"/>
        <v/>
      </c>
      <c r="C153" s="50">
        <f>IF(D93="","-",+C152+1)</f>
        <v>2067</v>
      </c>
      <c r="D153" s="12">
        <f>IF(F152+SUM(E$99:E152)=D$92,F152,D$92-SUM(E$99:E152))</f>
        <v>0</v>
      </c>
      <c r="E153" s="355">
        <f t="shared" si="71"/>
        <v>0</v>
      </c>
      <c r="F153" s="55">
        <f t="shared" si="72"/>
        <v>0</v>
      </c>
      <c r="G153" s="55">
        <f t="shared" si="73"/>
        <v>0</v>
      </c>
      <c r="H153" s="355">
        <f t="shared" si="74"/>
        <v>0</v>
      </c>
      <c r="I153" s="381">
        <f t="shared" si="75"/>
        <v>0</v>
      </c>
      <c r="J153" s="54">
        <f t="shared" si="77"/>
        <v>0</v>
      </c>
      <c r="K153" s="54"/>
      <c r="L153" s="115"/>
      <c r="M153" s="54">
        <f t="shared" si="78"/>
        <v>0</v>
      </c>
      <c r="N153" s="115"/>
      <c r="O153" s="54">
        <f t="shared" si="79"/>
        <v>0</v>
      </c>
      <c r="P153" s="54">
        <f t="shared" si="80"/>
        <v>0</v>
      </c>
    </row>
    <row r="154" spans="2:16" ht="13.5" thickBot="1">
      <c r="B154" s="7" t="str">
        <f t="shared" si="81"/>
        <v/>
      </c>
      <c r="C154" s="58">
        <f>IF(D93="","-",+C153+1)</f>
        <v>2068</v>
      </c>
      <c r="D154" s="82">
        <f>IF(F153+SUM(E$99:E153)=D$92,F153,D$92-SUM(E$99:E153))</f>
        <v>0</v>
      </c>
      <c r="E154" s="382">
        <f t="shared" si="71"/>
        <v>0</v>
      </c>
      <c r="F154" s="59">
        <f t="shared" si="72"/>
        <v>0</v>
      </c>
      <c r="G154" s="59">
        <f t="shared" si="73"/>
        <v>0</v>
      </c>
      <c r="H154" s="358">
        <f t="shared" ref="H154" si="82">+J$94*G154+E154</f>
        <v>0</v>
      </c>
      <c r="I154" s="383">
        <f t="shared" ref="I154" si="83">+J$95*G154+E154</f>
        <v>0</v>
      </c>
      <c r="J154" s="62">
        <f t="shared" si="77"/>
        <v>0</v>
      </c>
      <c r="K154" s="54"/>
      <c r="L154" s="116"/>
      <c r="M154" s="62">
        <f t="shared" si="78"/>
        <v>0</v>
      </c>
      <c r="N154" s="116"/>
      <c r="O154" s="62">
        <f t="shared" si="79"/>
        <v>0</v>
      </c>
      <c r="P154" s="62">
        <f t="shared" si="80"/>
        <v>0</v>
      </c>
    </row>
    <row r="155" spans="2:16">
      <c r="C155" s="12" t="s">
        <v>77</v>
      </c>
      <c r="D155" s="266"/>
      <c r="E155" s="266">
        <f>SUM(E99:E154)</f>
        <v>3305767</v>
      </c>
      <c r="F155" s="266"/>
      <c r="G155" s="266"/>
      <c r="H155" s="266">
        <f>SUM(H99:H154)</f>
        <v>11429587.088405214</v>
      </c>
      <c r="I155" s="266">
        <f>SUM(I99:I154)</f>
        <v>11429587.088405214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1" priority="1" stopIfTrue="1" operator="equal">
      <formula>$I$10</formula>
    </cfRule>
  </conditionalFormatting>
  <conditionalFormatting sqref="C99:C154">
    <cfRule type="cellIs" dxfId="50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3">
    <tabColor rgb="FFC00000"/>
  </sheetPr>
  <dimension ref="A1:P162"/>
  <sheetViews>
    <sheetView zoomScaleNormal="100" zoomScaleSheetLayoutView="75" workbookViewId="0">
      <selection activeCell="E107" sqref="E107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13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2327.5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2327.5</v>
      </c>
      <c r="O6" s="1"/>
      <c r="P6" s="1"/>
    </row>
    <row r="7" spans="1:16" ht="13.5" thickBot="1">
      <c r="C7" s="26" t="s">
        <v>46</v>
      </c>
      <c r="D7" s="331" t="s">
        <v>256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236</v>
      </c>
      <c r="E9" s="404" t="s">
        <v>289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22097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2010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581.5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5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D11</f>
        <v>2010</v>
      </c>
      <c r="D17" s="348">
        <v>0</v>
      </c>
      <c r="E17" s="351">
        <v>0</v>
      </c>
      <c r="F17" s="351">
        <v>0</v>
      </c>
      <c r="G17" s="351">
        <v>0</v>
      </c>
      <c r="H17" s="415">
        <v>0</v>
      </c>
      <c r="I17" s="52">
        <f t="shared" ref="I17:I48" si="0">H17-G17</f>
        <v>0</v>
      </c>
      <c r="J17" s="63"/>
      <c r="K17" s="350">
        <f t="shared" ref="K17:K22" si="1">G17</f>
        <v>0</v>
      </c>
      <c r="L17" s="416">
        <f t="shared" ref="L17:L48" si="2">IF(K17&lt;&gt;0,+G17-K17,0)</f>
        <v>0</v>
      </c>
      <c r="M17" s="350">
        <f t="shared" ref="M17:M22" si="3">H17</f>
        <v>0</v>
      </c>
      <c r="N17" s="390">
        <f t="shared" ref="N17:N48" si="4">IF(M17&lt;&gt;0,+H17-M17,0)</f>
        <v>0</v>
      </c>
      <c r="O17" s="54">
        <f t="shared" ref="O17:O48" si="5">+N17-L17</f>
        <v>0</v>
      </c>
      <c r="P17" s="1"/>
    </row>
    <row r="18" spans="2:16">
      <c r="B18" s="7" t="str">
        <f t="shared" ref="B18:B49" si="6">IF(D18=F17,"","IU")</f>
        <v/>
      </c>
      <c r="C18" s="50">
        <f>IF($D$11="","-",+C17+1)</f>
        <v>2011</v>
      </c>
      <c r="D18" s="348">
        <v>0</v>
      </c>
      <c r="E18" s="351">
        <v>0</v>
      </c>
      <c r="F18" s="351">
        <v>0</v>
      </c>
      <c r="G18" s="351">
        <v>0</v>
      </c>
      <c r="H18" s="415">
        <v>0</v>
      </c>
      <c r="I18" s="52">
        <f t="shared" si="0"/>
        <v>0</v>
      </c>
      <c r="J18" s="63"/>
      <c r="K18" s="350">
        <f t="shared" si="1"/>
        <v>0</v>
      </c>
      <c r="L18" s="63">
        <f t="shared" si="2"/>
        <v>0</v>
      </c>
      <c r="M18" s="350">
        <f t="shared" si="3"/>
        <v>0</v>
      </c>
      <c r="N18" s="52">
        <f t="shared" si="4"/>
        <v>0</v>
      </c>
      <c r="O18" s="54">
        <f t="shared" si="5"/>
        <v>0</v>
      </c>
      <c r="P18" s="1"/>
    </row>
    <row r="19" spans="2:16">
      <c r="B19" s="7" t="str">
        <f t="shared" si="6"/>
        <v>IU</v>
      </c>
      <c r="C19" s="50">
        <f>IF(D11="","-",+C18+1)</f>
        <v>2012</v>
      </c>
      <c r="D19" s="348">
        <v>22097</v>
      </c>
      <c r="E19" s="352">
        <v>212.47115384615381</v>
      </c>
      <c r="F19" s="348">
        <v>21884.528846153848</v>
      </c>
      <c r="G19" s="352">
        <v>3258.944937760969</v>
      </c>
      <c r="H19" s="353">
        <v>3258.944937760969</v>
      </c>
      <c r="I19" s="52">
        <f>H19-G19</f>
        <v>0</v>
      </c>
      <c r="J19" s="63"/>
      <c r="K19" s="350">
        <f t="shared" si="1"/>
        <v>3258.944937760969</v>
      </c>
      <c r="L19" s="63">
        <f t="shared" si="2"/>
        <v>0</v>
      </c>
      <c r="M19" s="350">
        <f t="shared" si="3"/>
        <v>3258.944937760969</v>
      </c>
      <c r="N19" s="52">
        <f t="shared" si="4"/>
        <v>0</v>
      </c>
      <c r="O19" s="54">
        <f t="shared" si="5"/>
        <v>0</v>
      </c>
      <c r="P19" s="1"/>
    </row>
    <row r="20" spans="2:16">
      <c r="B20" s="7" t="str">
        <f t="shared" si="6"/>
        <v/>
      </c>
      <c r="C20" s="50">
        <f>IF(D11="","-",+C19+1)</f>
        <v>2013</v>
      </c>
      <c r="D20" s="348">
        <v>21884.528846153848</v>
      </c>
      <c r="E20" s="352">
        <v>424.94230769230768</v>
      </c>
      <c r="F20" s="348">
        <v>21459.586538461539</v>
      </c>
      <c r="G20" s="352">
        <v>3489.9423076923076</v>
      </c>
      <c r="H20" s="353">
        <v>3489.9423076923076</v>
      </c>
      <c r="I20" s="52">
        <v>0</v>
      </c>
      <c r="J20" s="52"/>
      <c r="K20" s="350">
        <f t="shared" si="1"/>
        <v>3489.9423076923076</v>
      </c>
      <c r="L20" s="63">
        <f t="shared" ref="L20:L25" si="7">IF(K20&lt;&gt;0,+G20-K20,0)</f>
        <v>0</v>
      </c>
      <c r="M20" s="350">
        <f t="shared" si="3"/>
        <v>3489.9423076923076</v>
      </c>
      <c r="N20" s="52">
        <f t="shared" ref="N20:N25" si="8">IF(M20&lt;&gt;0,+H20-M20,0)</f>
        <v>0</v>
      </c>
      <c r="O20" s="54">
        <f t="shared" ref="O20:O25" si="9">+N20-L20</f>
        <v>0</v>
      </c>
      <c r="P20" s="1"/>
    </row>
    <row r="21" spans="2:16">
      <c r="B21" s="7" t="str">
        <f t="shared" si="6"/>
        <v/>
      </c>
      <c r="C21" s="50">
        <f>IF(D11="","-",+C20+1)</f>
        <v>2014</v>
      </c>
      <c r="D21" s="348">
        <v>21459.586538461539</v>
      </c>
      <c r="E21" s="352">
        <v>424.94230769230768</v>
      </c>
      <c r="F21" s="348">
        <v>21034.64423076923</v>
      </c>
      <c r="G21" s="352">
        <v>3320.9423076923076</v>
      </c>
      <c r="H21" s="353">
        <v>3320.9423076923076</v>
      </c>
      <c r="I21" s="52">
        <v>0</v>
      </c>
      <c r="J21" s="52"/>
      <c r="K21" s="350">
        <f t="shared" si="1"/>
        <v>3320.9423076923076</v>
      </c>
      <c r="L21" s="63">
        <f t="shared" si="7"/>
        <v>0</v>
      </c>
      <c r="M21" s="350">
        <f t="shared" si="3"/>
        <v>3320.9423076923076</v>
      </c>
      <c r="N21" s="52">
        <f t="shared" si="8"/>
        <v>0</v>
      </c>
      <c r="O21" s="54">
        <f t="shared" si="9"/>
        <v>0</v>
      </c>
      <c r="P21" s="1"/>
    </row>
    <row r="22" spans="2:16">
      <c r="B22" s="7" t="str">
        <f t="shared" si="6"/>
        <v/>
      </c>
      <c r="C22" s="50">
        <f>IF(D11="","-",+C21+1)</f>
        <v>2015</v>
      </c>
      <c r="D22" s="348">
        <v>21034.64423076923</v>
      </c>
      <c r="E22" s="352">
        <v>424.94230769230768</v>
      </c>
      <c r="F22" s="348">
        <v>20609.701923076922</v>
      </c>
      <c r="G22" s="352">
        <v>3265.9423076923076</v>
      </c>
      <c r="H22" s="353">
        <v>3265.9423076923076</v>
      </c>
      <c r="I22" s="52">
        <v>0</v>
      </c>
      <c r="J22" s="52"/>
      <c r="K22" s="350">
        <f t="shared" si="1"/>
        <v>3265.9423076923076</v>
      </c>
      <c r="L22" s="63">
        <f t="shared" si="7"/>
        <v>0</v>
      </c>
      <c r="M22" s="350">
        <f t="shared" si="3"/>
        <v>3265.9423076923076</v>
      </c>
      <c r="N22" s="52">
        <f t="shared" si="8"/>
        <v>0</v>
      </c>
      <c r="O22" s="54">
        <f t="shared" si="9"/>
        <v>0</v>
      </c>
      <c r="P22" s="1"/>
    </row>
    <row r="23" spans="2:16">
      <c r="B23" s="7" t="str">
        <f t="shared" si="6"/>
        <v/>
      </c>
      <c r="C23" s="50">
        <f>IF(D11="","-",+C22+1)</f>
        <v>2016</v>
      </c>
      <c r="D23" s="348">
        <v>20609.701923076922</v>
      </c>
      <c r="E23" s="352">
        <v>424.94230769230768</v>
      </c>
      <c r="F23" s="348">
        <v>20184.759615384613</v>
      </c>
      <c r="G23" s="352">
        <v>3071.9423076923076</v>
      </c>
      <c r="H23" s="353">
        <v>3071.9423076923076</v>
      </c>
      <c r="I23" s="52">
        <f t="shared" si="0"/>
        <v>0</v>
      </c>
      <c r="J23" s="52"/>
      <c r="K23" s="350">
        <f t="shared" ref="K23:K28" si="10">G23</f>
        <v>3071.9423076923076</v>
      </c>
      <c r="L23" s="63">
        <f t="shared" si="7"/>
        <v>0</v>
      </c>
      <c r="M23" s="350">
        <f t="shared" ref="M23:M28" si="11">H23</f>
        <v>3071.9423076923076</v>
      </c>
      <c r="N23" s="52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2017</v>
      </c>
      <c r="D24" s="348">
        <v>20184.759615384613</v>
      </c>
      <c r="E24" s="352">
        <v>480.36956521739131</v>
      </c>
      <c r="F24" s="348">
        <v>19704.390050167221</v>
      </c>
      <c r="G24" s="352">
        <v>2988.3695652173915</v>
      </c>
      <c r="H24" s="353">
        <v>2988.3695652173915</v>
      </c>
      <c r="I24" s="52">
        <f t="shared" si="0"/>
        <v>0</v>
      </c>
      <c r="J24" s="52"/>
      <c r="K24" s="350">
        <f t="shared" si="10"/>
        <v>2988.3695652173915</v>
      </c>
      <c r="L24" s="63">
        <f t="shared" si="7"/>
        <v>0</v>
      </c>
      <c r="M24" s="350">
        <f t="shared" si="11"/>
        <v>2988.3695652173915</v>
      </c>
      <c r="N24" s="52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2018</v>
      </c>
      <c r="D25" s="348">
        <v>19704.390050167221</v>
      </c>
      <c r="E25" s="352">
        <v>491.04444444444442</v>
      </c>
      <c r="F25" s="348">
        <v>19213.345605722778</v>
      </c>
      <c r="G25" s="352">
        <v>2821.4178428916557</v>
      </c>
      <c r="H25" s="353">
        <v>2821.4178428916557</v>
      </c>
      <c r="I25" s="52">
        <f t="shared" si="0"/>
        <v>0</v>
      </c>
      <c r="J25" s="52"/>
      <c r="K25" s="350">
        <f t="shared" si="10"/>
        <v>2821.4178428916557</v>
      </c>
      <c r="L25" s="63">
        <f t="shared" si="7"/>
        <v>0</v>
      </c>
      <c r="M25" s="350">
        <f t="shared" si="11"/>
        <v>2821.4178428916557</v>
      </c>
      <c r="N25" s="52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2019</v>
      </c>
      <c r="D26" s="348">
        <v>19213.345605722778</v>
      </c>
      <c r="E26" s="352">
        <v>552.42499999999995</v>
      </c>
      <c r="F26" s="348">
        <v>18660.920605722778</v>
      </c>
      <c r="G26" s="352">
        <v>2666.8814890183439</v>
      </c>
      <c r="H26" s="353">
        <v>2666.8814890183439</v>
      </c>
      <c r="I26" s="52">
        <f t="shared" si="0"/>
        <v>0</v>
      </c>
      <c r="J26" s="52"/>
      <c r="K26" s="350">
        <f t="shared" si="10"/>
        <v>2666.8814890183439</v>
      </c>
      <c r="L26" s="63">
        <f t="shared" ref="L26" si="12">IF(K26&lt;&gt;0,+G26-K26,0)</f>
        <v>0</v>
      </c>
      <c r="M26" s="350">
        <f t="shared" si="11"/>
        <v>2666.8814890183439</v>
      </c>
      <c r="N26" s="52">
        <f t="shared" ref="N26" si="13">IF(M26&lt;&gt;0,+H26-M26,0)</f>
        <v>0</v>
      </c>
      <c r="O26" s="54">
        <f t="shared" si="5"/>
        <v>0</v>
      </c>
      <c r="P26" s="1"/>
    </row>
    <row r="27" spans="2:16">
      <c r="B27" s="7" t="str">
        <f t="shared" si="6"/>
        <v>IU</v>
      </c>
      <c r="C27" s="50">
        <f>IF(D11="","-",+C26+1)</f>
        <v>2020</v>
      </c>
      <c r="D27" s="348">
        <v>18722.301161278334</v>
      </c>
      <c r="E27" s="352">
        <v>526.11904761904759</v>
      </c>
      <c r="F27" s="348">
        <v>18196.182113659288</v>
      </c>
      <c r="G27" s="352">
        <v>2519.8053226007855</v>
      </c>
      <c r="H27" s="353">
        <v>2519.8053226007855</v>
      </c>
      <c r="I27" s="52">
        <f t="shared" si="0"/>
        <v>0</v>
      </c>
      <c r="J27" s="52"/>
      <c r="K27" s="350">
        <f t="shared" si="10"/>
        <v>2519.8053226007855</v>
      </c>
      <c r="L27" s="63">
        <f t="shared" ref="L27" si="14">IF(K27&lt;&gt;0,+G27-K27,0)</f>
        <v>0</v>
      </c>
      <c r="M27" s="350">
        <f t="shared" si="11"/>
        <v>2519.8053226007855</v>
      </c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6"/>
        <v>IU</v>
      </c>
      <c r="C28" s="50">
        <f>IF(D11="","-",+C27+1)</f>
        <v>2021</v>
      </c>
      <c r="D28" s="348">
        <v>18134.801558103733</v>
      </c>
      <c r="E28" s="352">
        <v>513.88372093023258</v>
      </c>
      <c r="F28" s="348">
        <v>17620.9178371735</v>
      </c>
      <c r="G28" s="352">
        <v>2413.8837209302328</v>
      </c>
      <c r="H28" s="353">
        <v>2413.8837209302328</v>
      </c>
      <c r="I28" s="52">
        <f t="shared" si="0"/>
        <v>0</v>
      </c>
      <c r="J28" s="52"/>
      <c r="K28" s="350">
        <f t="shared" si="10"/>
        <v>2413.8837209302328</v>
      </c>
      <c r="L28" s="63">
        <f t="shared" ref="L28" si="15">IF(K28&lt;&gt;0,+G28-K28,0)</f>
        <v>0</v>
      </c>
      <c r="M28" s="350">
        <f t="shared" si="11"/>
        <v>2413.8837209302328</v>
      </c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6"/>
        <v/>
      </c>
      <c r="C29" s="50">
        <f>IF(D11="","-",+C28+1)</f>
        <v>2022</v>
      </c>
      <c r="D29" s="348">
        <v>17620.9178371735</v>
      </c>
      <c r="E29" s="352">
        <v>526.11904761904759</v>
      </c>
      <c r="F29" s="348">
        <v>17094.798789554454</v>
      </c>
      <c r="G29" s="352">
        <v>2369.1190476190477</v>
      </c>
      <c r="H29" s="353">
        <v>2369.1190476190477</v>
      </c>
      <c r="I29" s="52">
        <f t="shared" si="0"/>
        <v>0</v>
      </c>
      <c r="J29" s="52"/>
      <c r="K29" s="350">
        <f t="shared" ref="K29" si="16">G29</f>
        <v>2369.1190476190477</v>
      </c>
      <c r="L29" s="63">
        <f t="shared" ref="L29" si="17">IF(K29&lt;&gt;0,+G29-K29,0)</f>
        <v>0</v>
      </c>
      <c r="M29" s="350">
        <f t="shared" ref="M29" si="18">H29</f>
        <v>2369.1190476190477</v>
      </c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6"/>
        <v/>
      </c>
      <c r="C30" s="50">
        <f>IF(D11="","-",+C29+1)</f>
        <v>2023</v>
      </c>
      <c r="D30" s="348">
        <v>17094.798789554454</v>
      </c>
      <c r="E30" s="352">
        <v>566.58974358974353</v>
      </c>
      <c r="F30" s="348">
        <v>16528.209045964712</v>
      </c>
      <c r="G30" s="352">
        <v>2539.5897435897436</v>
      </c>
      <c r="H30" s="353">
        <v>2539.5897435897436</v>
      </c>
      <c r="I30" s="52">
        <f t="shared" si="0"/>
        <v>0</v>
      </c>
      <c r="J30" s="52"/>
      <c r="K30" s="350">
        <f t="shared" ref="K30" si="19">G30</f>
        <v>2539.5897435897436</v>
      </c>
      <c r="L30" s="63">
        <f t="shared" ref="L30" si="20">IF(K30&lt;&gt;0,+G30-K30,0)</f>
        <v>0</v>
      </c>
      <c r="M30" s="350">
        <f t="shared" ref="M30" si="21">H30</f>
        <v>2539.5897435897436</v>
      </c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6"/>
        <v/>
      </c>
      <c r="C31" s="50">
        <f>IF(D11="","-",+C30+1)</f>
        <v>2024</v>
      </c>
      <c r="D31" s="348">
        <v>16528.209045964712</v>
      </c>
      <c r="E31" s="352">
        <v>581.5</v>
      </c>
      <c r="F31" s="348">
        <v>15946.709045964712</v>
      </c>
      <c r="G31" s="352">
        <v>2395.5</v>
      </c>
      <c r="H31" s="353">
        <v>2395.5</v>
      </c>
      <c r="I31" s="52">
        <f t="shared" si="0"/>
        <v>0</v>
      </c>
      <c r="J31" s="52"/>
      <c r="K31" s="350">
        <f t="shared" ref="K31" si="22">G31</f>
        <v>2395.5</v>
      </c>
      <c r="L31" s="63">
        <f t="shared" ref="L31" si="23">IF(K31&lt;&gt;0,+G31-K31,0)</f>
        <v>0</v>
      </c>
      <c r="M31" s="350">
        <f t="shared" ref="M31" si="24">H31</f>
        <v>2395.5</v>
      </c>
      <c r="N31" s="54">
        <f t="shared" ref="N31" si="25">IF(M31&lt;&gt;0,+H31-M31,0)</f>
        <v>0</v>
      </c>
      <c r="O31" s="54">
        <f t="shared" ref="O31" si="26">+N31-L31</f>
        <v>0</v>
      </c>
      <c r="P31" s="1"/>
    </row>
    <row r="32" spans="2:16">
      <c r="B32" s="7" t="str">
        <f t="shared" si="6"/>
        <v/>
      </c>
      <c r="C32" s="50">
        <f>IF(D11="","-",+C31+1)</f>
        <v>2025</v>
      </c>
      <c r="D32" s="348">
        <v>15946.709045964712</v>
      </c>
      <c r="E32" s="352">
        <v>581.5</v>
      </c>
      <c r="F32" s="348">
        <v>15365.209045964712</v>
      </c>
      <c r="G32" s="352">
        <v>2327.5</v>
      </c>
      <c r="H32" s="353">
        <v>2327.5</v>
      </c>
      <c r="I32" s="52">
        <f t="shared" si="0"/>
        <v>0</v>
      </c>
      <c r="J32" s="52"/>
      <c r="K32" s="350">
        <f t="shared" ref="K32" si="27">G32</f>
        <v>2327.5</v>
      </c>
      <c r="L32" s="63">
        <f t="shared" ref="L32" si="28">IF(K32&lt;&gt;0,+G32-K32,0)</f>
        <v>0</v>
      </c>
      <c r="M32" s="350">
        <f t="shared" ref="M32" si="29">H32</f>
        <v>2327.5</v>
      </c>
      <c r="N32" s="54">
        <f t="shared" ref="N32" si="30">IF(M32&lt;&gt;0,+H32-M32,0)</f>
        <v>0</v>
      </c>
      <c r="O32" s="54">
        <f t="shared" ref="O32" si="31">+N32-L32</f>
        <v>0</v>
      </c>
      <c r="P32" s="1"/>
    </row>
    <row r="33" spans="2:16">
      <c r="B33" s="7" t="str">
        <f t="shared" si="6"/>
        <v/>
      </c>
      <c r="C33" s="50">
        <f>IF(D11="","-",+C32+1)</f>
        <v>2026</v>
      </c>
      <c r="D33" s="55">
        <f>IF(F32+SUM(E$17:E32)=D$10,F32,D$10-SUM(E$17:E32))</f>
        <v>15365.209045964712</v>
      </c>
      <c r="E33" s="354">
        <f>IF(+I14&lt;F32,I14,D33)</f>
        <v>581.5</v>
      </c>
      <c r="F33" s="55">
        <f t="shared" ref="F33:F48" si="32">+D33-E33</f>
        <v>14783.709045964712</v>
      </c>
      <c r="G33" s="355">
        <f t="shared" ref="G33:G72" si="33">(D33+F33)/2*I$12+E33</f>
        <v>2294.0564439998834</v>
      </c>
      <c r="H33" s="336">
        <f t="shared" ref="H33:H72" si="34">+(D33+F33)/2*I$13+E33</f>
        <v>2294.0564439998834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6"/>
        <v/>
      </c>
      <c r="C34" s="50">
        <f>IF(D11="","-",+C33+1)</f>
        <v>2027</v>
      </c>
      <c r="D34" s="55">
        <f>IF(F33+SUM(E$17:E33)=D$10,F33,D$10-SUM(E$17:E33))</f>
        <v>14783.709045964712</v>
      </c>
      <c r="E34" s="354">
        <f>IF(+I14&lt;F33,I14,D34)</f>
        <v>581.5</v>
      </c>
      <c r="F34" s="55">
        <f t="shared" si="32"/>
        <v>14202.209045964712</v>
      </c>
      <c r="G34" s="355">
        <f t="shared" si="33"/>
        <v>2227.9942676292812</v>
      </c>
      <c r="H34" s="336">
        <f t="shared" si="34"/>
        <v>2227.9942676292812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6"/>
        <v/>
      </c>
      <c r="C35" s="50">
        <f>IF(D11="","-",+C34+1)</f>
        <v>2028</v>
      </c>
      <c r="D35" s="55">
        <f>IF(F34+SUM(E$17:E34)=D$10,F34,D$10-SUM(E$17:E34))</f>
        <v>14202.209045964712</v>
      </c>
      <c r="E35" s="354">
        <f>IF(+I14&lt;F34,I14,D35)</f>
        <v>581.5</v>
      </c>
      <c r="F35" s="55">
        <f t="shared" si="32"/>
        <v>13620.709045964712</v>
      </c>
      <c r="G35" s="355">
        <f t="shared" si="33"/>
        <v>2161.93209125868</v>
      </c>
      <c r="H35" s="336">
        <f t="shared" si="34"/>
        <v>2161.93209125868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6"/>
        <v/>
      </c>
      <c r="C36" s="50">
        <f>IF(D11="","-",+C35+1)</f>
        <v>2029</v>
      </c>
      <c r="D36" s="55">
        <f>IF(F35+SUM(E$17:E35)=D$10,F35,D$10-SUM(E$17:E35))</f>
        <v>13620.709045964712</v>
      </c>
      <c r="E36" s="354">
        <f>IF(+I14&lt;F35,I14,D36)</f>
        <v>581.5</v>
      </c>
      <c r="F36" s="55">
        <f t="shared" si="32"/>
        <v>13039.209045964712</v>
      </c>
      <c r="G36" s="355">
        <f t="shared" si="33"/>
        <v>2095.8699148880783</v>
      </c>
      <c r="H36" s="336">
        <f t="shared" si="34"/>
        <v>2095.8699148880783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6"/>
        <v/>
      </c>
      <c r="C37" s="50">
        <f>IF(D11="","-",+C36+1)</f>
        <v>2030</v>
      </c>
      <c r="D37" s="55">
        <f>IF(F36+SUM(E$17:E36)=D$10,F36,D$10-SUM(E$17:E36))</f>
        <v>13039.209045964712</v>
      </c>
      <c r="E37" s="354">
        <f>IF(+I14&lt;F36,I14,D37)</f>
        <v>581.5</v>
      </c>
      <c r="F37" s="55">
        <f t="shared" si="32"/>
        <v>12457.709045964712</v>
      </c>
      <c r="G37" s="355">
        <f t="shared" si="33"/>
        <v>2029.8077385174765</v>
      </c>
      <c r="H37" s="336">
        <f t="shared" si="34"/>
        <v>2029.8077385174765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6"/>
        <v/>
      </c>
      <c r="C38" s="50">
        <f>IF(D11="","-",+C37+1)</f>
        <v>2031</v>
      </c>
      <c r="D38" s="55">
        <f>IF(F37+SUM(E$17:E37)=D$10,F37,D$10-SUM(E$17:E37))</f>
        <v>12457.709045964712</v>
      </c>
      <c r="E38" s="354">
        <f>IF(+I14&lt;F37,I14,D38)</f>
        <v>581.5</v>
      </c>
      <c r="F38" s="55">
        <f t="shared" si="32"/>
        <v>11876.209045964712</v>
      </c>
      <c r="G38" s="355">
        <f t="shared" si="33"/>
        <v>1963.745562146875</v>
      </c>
      <c r="H38" s="336">
        <f t="shared" si="34"/>
        <v>1963.745562146875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6"/>
        <v/>
      </c>
      <c r="C39" s="50">
        <f>IF(D11="","-",+C38+1)</f>
        <v>2032</v>
      </c>
      <c r="D39" s="55">
        <f>IF(F38+SUM(E$17:E38)=D$10,F38,D$10-SUM(E$17:E38))</f>
        <v>11876.209045964712</v>
      </c>
      <c r="E39" s="354">
        <f>IF(+I14&lt;F38,I14,D39)</f>
        <v>581.5</v>
      </c>
      <c r="F39" s="55">
        <f t="shared" si="32"/>
        <v>11294.709045964712</v>
      </c>
      <c r="G39" s="355">
        <f t="shared" si="33"/>
        <v>1897.6833857762733</v>
      </c>
      <c r="H39" s="336">
        <f t="shared" si="34"/>
        <v>1897.6833857762733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6"/>
        <v/>
      </c>
      <c r="C40" s="50">
        <f>IF(D11="","-",+C39+1)</f>
        <v>2033</v>
      </c>
      <c r="D40" s="55">
        <f>IF(F39+SUM(E$17:E39)=D$10,F39,D$10-SUM(E$17:E39))</f>
        <v>11294.709045964712</v>
      </c>
      <c r="E40" s="354">
        <f>IF(+I14&lt;F39,I14,D40)</f>
        <v>581.5</v>
      </c>
      <c r="F40" s="55">
        <f t="shared" si="32"/>
        <v>10713.209045964712</v>
      </c>
      <c r="G40" s="355">
        <f t="shared" si="33"/>
        <v>1831.6212094056716</v>
      </c>
      <c r="H40" s="336">
        <f t="shared" si="34"/>
        <v>1831.6212094056716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6"/>
        <v/>
      </c>
      <c r="C41" s="50">
        <f>IF(D11="","-",+C40+1)</f>
        <v>2034</v>
      </c>
      <c r="D41" s="55">
        <f>IF(F40+SUM(E$17:E40)=D$10,F40,D$10-SUM(E$17:E40))</f>
        <v>10713.209045964712</v>
      </c>
      <c r="E41" s="354">
        <f>IF(+I14&lt;F40,I14,D41)</f>
        <v>581.5</v>
      </c>
      <c r="F41" s="55">
        <f t="shared" si="32"/>
        <v>10131.709045964712</v>
      </c>
      <c r="G41" s="355">
        <f t="shared" si="33"/>
        <v>1765.5590330350701</v>
      </c>
      <c r="H41" s="336">
        <f t="shared" si="34"/>
        <v>1765.5590330350701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6"/>
        <v/>
      </c>
      <c r="C42" s="50">
        <f>IF(D11="","-",+C41+1)</f>
        <v>2035</v>
      </c>
      <c r="D42" s="55">
        <f>IF(F41+SUM(E$17:E41)=D$10,F41,D$10-SUM(E$17:E41))</f>
        <v>10131.709045964712</v>
      </c>
      <c r="E42" s="354">
        <f>IF(+I14&lt;F41,I14,D42)</f>
        <v>581.5</v>
      </c>
      <c r="F42" s="55">
        <f t="shared" si="32"/>
        <v>9550.2090459647115</v>
      </c>
      <c r="G42" s="355">
        <f t="shared" si="33"/>
        <v>1699.4968566644684</v>
      </c>
      <c r="H42" s="336">
        <f t="shared" si="34"/>
        <v>1699.4968566644684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6"/>
        <v/>
      </c>
      <c r="C43" s="50">
        <f>IF(D11="","-",+C42+1)</f>
        <v>2036</v>
      </c>
      <c r="D43" s="55">
        <f>IF(F42+SUM(E$17:E42)=D$10,F42,D$10-SUM(E$17:E42))</f>
        <v>9550.2090459647115</v>
      </c>
      <c r="E43" s="354">
        <f>IF(+I14&lt;F42,I14,D43)</f>
        <v>581.5</v>
      </c>
      <c r="F43" s="55">
        <f t="shared" si="32"/>
        <v>8968.7090459647115</v>
      </c>
      <c r="G43" s="355">
        <f t="shared" si="33"/>
        <v>1633.4346802938667</v>
      </c>
      <c r="H43" s="336">
        <f t="shared" si="34"/>
        <v>1633.4346802938667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6"/>
        <v/>
      </c>
      <c r="C44" s="50">
        <f>IF(D11="","-",+C43+1)</f>
        <v>2037</v>
      </c>
      <c r="D44" s="55">
        <f>IF(F43+SUM(E$17:E43)=D$10,F43,D$10-SUM(E$17:E43))</f>
        <v>8968.7090459647115</v>
      </c>
      <c r="E44" s="354">
        <f>IF(+I14&lt;F43,I14,D44)</f>
        <v>581.5</v>
      </c>
      <c r="F44" s="55">
        <f t="shared" si="32"/>
        <v>8387.2090459647115</v>
      </c>
      <c r="G44" s="355">
        <f t="shared" si="33"/>
        <v>1567.3725039232652</v>
      </c>
      <c r="H44" s="336">
        <f t="shared" si="34"/>
        <v>1567.3725039232652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6"/>
        <v/>
      </c>
      <c r="C45" s="50">
        <f>IF(D11="","-",+C44+1)</f>
        <v>2038</v>
      </c>
      <c r="D45" s="55">
        <f>IF(F44+SUM(E$17:E44)=D$10,F44,D$10-SUM(E$17:E44))</f>
        <v>8387.2090459647115</v>
      </c>
      <c r="E45" s="354">
        <f>IF(+I14&lt;F44,I14,D45)</f>
        <v>581.5</v>
      </c>
      <c r="F45" s="55">
        <f t="shared" si="32"/>
        <v>7805.7090459647115</v>
      </c>
      <c r="G45" s="355">
        <f t="shared" si="33"/>
        <v>1501.3103275526635</v>
      </c>
      <c r="H45" s="336">
        <f t="shared" si="34"/>
        <v>1501.3103275526635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6"/>
        <v/>
      </c>
      <c r="C46" s="50">
        <f>IF(D11="","-",+C45+1)</f>
        <v>2039</v>
      </c>
      <c r="D46" s="55">
        <f>IF(F45+SUM(E$17:E45)=D$10,F45,D$10-SUM(E$17:E45))</f>
        <v>7805.7090459647115</v>
      </c>
      <c r="E46" s="354">
        <f>IF(+I14&lt;F45,I14,D46)</f>
        <v>581.5</v>
      </c>
      <c r="F46" s="55">
        <f t="shared" si="32"/>
        <v>7224.2090459647115</v>
      </c>
      <c r="G46" s="355">
        <f t="shared" si="33"/>
        <v>1435.248151182062</v>
      </c>
      <c r="H46" s="336">
        <f t="shared" si="34"/>
        <v>1435.248151182062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6"/>
        <v/>
      </c>
      <c r="C47" s="50">
        <f>IF(D11="","-",+C46+1)</f>
        <v>2040</v>
      </c>
      <c r="D47" s="55">
        <f>IF(F46+SUM(E$17:E46)=D$10,F46,D$10-SUM(E$17:E46))</f>
        <v>7224.2090459647115</v>
      </c>
      <c r="E47" s="354">
        <f>IF(+I14&lt;F46,I14,D47)</f>
        <v>581.5</v>
      </c>
      <c r="F47" s="55">
        <f t="shared" si="32"/>
        <v>6642.7090459647115</v>
      </c>
      <c r="G47" s="355">
        <f t="shared" si="33"/>
        <v>1369.1859748114603</v>
      </c>
      <c r="H47" s="336">
        <f t="shared" si="34"/>
        <v>1369.1859748114603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6"/>
        <v/>
      </c>
      <c r="C48" s="50">
        <f>IF(D11="","-",+C47+1)</f>
        <v>2041</v>
      </c>
      <c r="D48" s="55">
        <f>IF(F47+SUM(E$17:E47)=D$10,F47,D$10-SUM(E$17:E47))</f>
        <v>6642.7090459647115</v>
      </c>
      <c r="E48" s="354">
        <f>IF(+I14&lt;F47,I14,D48)</f>
        <v>581.5</v>
      </c>
      <c r="F48" s="55">
        <f t="shared" si="32"/>
        <v>6061.2090459647115</v>
      </c>
      <c r="G48" s="355">
        <f t="shared" si="33"/>
        <v>1303.1237984408585</v>
      </c>
      <c r="H48" s="336">
        <f t="shared" si="34"/>
        <v>1303.1237984408585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6"/>
        <v/>
      </c>
      <c r="C49" s="50">
        <f>IF(D11="","-",+C48+1)</f>
        <v>2042</v>
      </c>
      <c r="D49" s="55">
        <f>IF(F48+SUM(E$17:E48)=D$10,F48,D$10-SUM(E$17:E48))</f>
        <v>6061.2090459647115</v>
      </c>
      <c r="E49" s="354">
        <f>IF(+I14&lt;F48,I14,D49)</f>
        <v>581.5</v>
      </c>
      <c r="F49" s="55">
        <f t="shared" ref="F49:F72" si="35">+D49-E49</f>
        <v>5479.7090459647115</v>
      </c>
      <c r="G49" s="355">
        <f t="shared" si="33"/>
        <v>1237.0616220702568</v>
      </c>
      <c r="H49" s="336">
        <f t="shared" si="34"/>
        <v>1237.0616220702568</v>
      </c>
      <c r="I49" s="52">
        <f t="shared" ref="I49:I72" si="36">H49-G49</f>
        <v>0</v>
      </c>
      <c r="J49" s="52"/>
      <c r="K49" s="115"/>
      <c r="L49" s="54">
        <f t="shared" ref="L49:L72" si="37">IF(K49&lt;&gt;0,+G49-K49,0)</f>
        <v>0</v>
      </c>
      <c r="M49" s="115"/>
      <c r="N49" s="54">
        <f t="shared" ref="N49:N72" si="38">IF(M49&lt;&gt;0,+H49-M49,0)</f>
        <v>0</v>
      </c>
      <c r="O49" s="54">
        <f t="shared" ref="O49:O72" si="39">+N49-L49</f>
        <v>0</v>
      </c>
      <c r="P49" s="1"/>
    </row>
    <row r="50" spans="2:16">
      <c r="B50" s="7" t="str">
        <f t="shared" ref="B50:B72" si="40">IF(D50=F49,"","IU")</f>
        <v/>
      </c>
      <c r="C50" s="50">
        <f>IF(D11="","-",+C49+1)</f>
        <v>2043</v>
      </c>
      <c r="D50" s="55">
        <f>IF(F49+SUM(E$17:E49)=D$10,F49,D$10-SUM(E$17:E49))</f>
        <v>5479.7090459647115</v>
      </c>
      <c r="E50" s="354">
        <f>IF(+I14&lt;F49,I14,D50)</f>
        <v>581.5</v>
      </c>
      <c r="F50" s="55">
        <f t="shared" si="35"/>
        <v>4898.2090459647115</v>
      </c>
      <c r="G50" s="355">
        <f t="shared" si="33"/>
        <v>1170.9994456996553</v>
      </c>
      <c r="H50" s="336">
        <f t="shared" si="34"/>
        <v>1170.9994456996553</v>
      </c>
      <c r="I50" s="52">
        <f t="shared" si="36"/>
        <v>0</v>
      </c>
      <c r="J50" s="52"/>
      <c r="K50" s="115"/>
      <c r="L50" s="54">
        <f t="shared" si="37"/>
        <v>0</v>
      </c>
      <c r="M50" s="115"/>
      <c r="N50" s="54">
        <f t="shared" si="38"/>
        <v>0</v>
      </c>
      <c r="O50" s="54">
        <f t="shared" si="39"/>
        <v>0</v>
      </c>
      <c r="P50" s="1"/>
    </row>
    <row r="51" spans="2:16">
      <c r="B51" s="7" t="str">
        <f t="shared" si="40"/>
        <v/>
      </c>
      <c r="C51" s="50">
        <f>IF(D11="","-",+C50+1)</f>
        <v>2044</v>
      </c>
      <c r="D51" s="55">
        <f>IF(F50+SUM(E$17:E50)=D$10,F50,D$10-SUM(E$17:E50))</f>
        <v>4898.2090459647115</v>
      </c>
      <c r="E51" s="354">
        <f>IF(+I14&lt;F50,I14,D51)</f>
        <v>581.5</v>
      </c>
      <c r="F51" s="55">
        <f t="shared" si="35"/>
        <v>4316.7090459647115</v>
      </c>
      <c r="G51" s="355">
        <f t="shared" si="33"/>
        <v>1104.9372693290538</v>
      </c>
      <c r="H51" s="336">
        <f t="shared" si="34"/>
        <v>1104.9372693290538</v>
      </c>
      <c r="I51" s="52">
        <f t="shared" si="36"/>
        <v>0</v>
      </c>
      <c r="J51" s="52"/>
      <c r="K51" s="115"/>
      <c r="L51" s="54">
        <f t="shared" si="37"/>
        <v>0</v>
      </c>
      <c r="M51" s="115"/>
      <c r="N51" s="54">
        <f t="shared" si="38"/>
        <v>0</v>
      </c>
      <c r="O51" s="54">
        <f t="shared" si="39"/>
        <v>0</v>
      </c>
      <c r="P51" s="1"/>
    </row>
    <row r="52" spans="2:16">
      <c r="B52" s="7" t="str">
        <f t="shared" si="40"/>
        <v/>
      </c>
      <c r="C52" s="50">
        <f>IF(D11="","-",+C51+1)</f>
        <v>2045</v>
      </c>
      <c r="D52" s="55">
        <f>IF(F51+SUM(E$17:E51)=D$10,F51,D$10-SUM(E$17:E51))</f>
        <v>4316.7090459647115</v>
      </c>
      <c r="E52" s="354">
        <f>IF(+I14&lt;F51,I14,D52)</f>
        <v>581.5</v>
      </c>
      <c r="F52" s="55">
        <f t="shared" si="35"/>
        <v>3735.2090459647115</v>
      </c>
      <c r="G52" s="355">
        <f t="shared" si="33"/>
        <v>1038.8750929584521</v>
      </c>
      <c r="H52" s="336">
        <f t="shared" si="34"/>
        <v>1038.8750929584521</v>
      </c>
      <c r="I52" s="52">
        <f t="shared" si="36"/>
        <v>0</v>
      </c>
      <c r="J52" s="52"/>
      <c r="K52" s="115"/>
      <c r="L52" s="54">
        <f t="shared" si="37"/>
        <v>0</v>
      </c>
      <c r="M52" s="115"/>
      <c r="N52" s="54">
        <f t="shared" si="38"/>
        <v>0</v>
      </c>
      <c r="O52" s="54">
        <f t="shared" si="39"/>
        <v>0</v>
      </c>
      <c r="P52" s="1"/>
    </row>
    <row r="53" spans="2:16">
      <c r="B53" s="7" t="str">
        <f t="shared" si="40"/>
        <v/>
      </c>
      <c r="C53" s="50">
        <f>IF(D11="","-",+C52+1)</f>
        <v>2046</v>
      </c>
      <c r="D53" s="55">
        <f>IF(F52+SUM(E$17:E52)=D$10,F52,D$10-SUM(E$17:E52))</f>
        <v>3735.2090459647115</v>
      </c>
      <c r="E53" s="354">
        <f>IF(+I14&lt;F52,I14,D53)</f>
        <v>581.5</v>
      </c>
      <c r="F53" s="55">
        <f t="shared" si="35"/>
        <v>3153.7090459647115</v>
      </c>
      <c r="G53" s="355">
        <f t="shared" si="33"/>
        <v>972.8129165878504</v>
      </c>
      <c r="H53" s="336">
        <f t="shared" si="34"/>
        <v>972.8129165878504</v>
      </c>
      <c r="I53" s="52">
        <f t="shared" si="36"/>
        <v>0</v>
      </c>
      <c r="J53" s="52"/>
      <c r="K53" s="115"/>
      <c r="L53" s="54">
        <f t="shared" si="37"/>
        <v>0</v>
      </c>
      <c r="M53" s="115"/>
      <c r="N53" s="54">
        <f t="shared" si="38"/>
        <v>0</v>
      </c>
      <c r="O53" s="54">
        <f t="shared" si="39"/>
        <v>0</v>
      </c>
      <c r="P53" s="1"/>
    </row>
    <row r="54" spans="2:16">
      <c r="B54" s="7" t="str">
        <f t="shared" si="40"/>
        <v/>
      </c>
      <c r="C54" s="50">
        <f>IF(D11="","-",+C53+1)</f>
        <v>2047</v>
      </c>
      <c r="D54" s="55">
        <f>IF(F53+SUM(E$17:E53)=D$10,F53,D$10-SUM(E$17:E53))</f>
        <v>3153.7090459647115</v>
      </c>
      <c r="E54" s="354">
        <f>IF(+I14&lt;F53,I14,D54)</f>
        <v>581.5</v>
      </c>
      <c r="F54" s="55">
        <f t="shared" si="35"/>
        <v>2572.2090459647115</v>
      </c>
      <c r="G54" s="355">
        <f t="shared" si="33"/>
        <v>906.75074021724879</v>
      </c>
      <c r="H54" s="336">
        <f t="shared" si="34"/>
        <v>906.75074021724879</v>
      </c>
      <c r="I54" s="52">
        <f t="shared" si="36"/>
        <v>0</v>
      </c>
      <c r="J54" s="52"/>
      <c r="K54" s="115"/>
      <c r="L54" s="54">
        <f t="shared" si="37"/>
        <v>0</v>
      </c>
      <c r="M54" s="115"/>
      <c r="N54" s="54">
        <f t="shared" si="38"/>
        <v>0</v>
      </c>
      <c r="O54" s="54">
        <f t="shared" si="39"/>
        <v>0</v>
      </c>
      <c r="P54" s="1"/>
    </row>
    <row r="55" spans="2:16">
      <c r="B55" s="7" t="str">
        <f t="shared" si="40"/>
        <v/>
      </c>
      <c r="C55" s="50">
        <f>IF(D11="","-",+C54+1)</f>
        <v>2048</v>
      </c>
      <c r="D55" s="55">
        <f>IF(F54+SUM(E$17:E54)=D$10,F54,D$10-SUM(E$17:E54))</f>
        <v>2572.2090459647115</v>
      </c>
      <c r="E55" s="354">
        <f>IF(+I14&lt;F54,I14,D55)</f>
        <v>581.5</v>
      </c>
      <c r="F55" s="55">
        <f t="shared" si="35"/>
        <v>1990.7090459647115</v>
      </c>
      <c r="G55" s="355">
        <f t="shared" si="33"/>
        <v>840.68856384664718</v>
      </c>
      <c r="H55" s="336">
        <f t="shared" si="34"/>
        <v>840.68856384664718</v>
      </c>
      <c r="I55" s="52">
        <f t="shared" si="36"/>
        <v>0</v>
      </c>
      <c r="J55" s="52"/>
      <c r="K55" s="115"/>
      <c r="L55" s="54">
        <f t="shared" si="37"/>
        <v>0</v>
      </c>
      <c r="M55" s="115"/>
      <c r="N55" s="54">
        <f t="shared" si="38"/>
        <v>0</v>
      </c>
      <c r="O55" s="54">
        <f t="shared" si="39"/>
        <v>0</v>
      </c>
      <c r="P55" s="1"/>
    </row>
    <row r="56" spans="2:16">
      <c r="B56" s="7" t="str">
        <f t="shared" si="40"/>
        <v/>
      </c>
      <c r="C56" s="50">
        <f>IF(D11="","-",+C55+1)</f>
        <v>2049</v>
      </c>
      <c r="D56" s="55">
        <f>IF(F55+SUM(E$17:E55)=D$10,F55,D$10-SUM(E$17:E55))</f>
        <v>1990.7090459647115</v>
      </c>
      <c r="E56" s="354">
        <f>IF(+I14&lt;F55,I14,D56)</f>
        <v>581.5</v>
      </c>
      <c r="F56" s="55">
        <f t="shared" si="35"/>
        <v>1409.2090459647115</v>
      </c>
      <c r="G56" s="355">
        <f t="shared" si="33"/>
        <v>774.62638747604547</v>
      </c>
      <c r="H56" s="336">
        <f t="shared" si="34"/>
        <v>774.62638747604547</v>
      </c>
      <c r="I56" s="52">
        <f t="shared" si="36"/>
        <v>0</v>
      </c>
      <c r="J56" s="52"/>
      <c r="K56" s="115"/>
      <c r="L56" s="54">
        <f t="shared" si="37"/>
        <v>0</v>
      </c>
      <c r="M56" s="115"/>
      <c r="N56" s="54">
        <f t="shared" si="38"/>
        <v>0</v>
      </c>
      <c r="O56" s="54">
        <f t="shared" si="39"/>
        <v>0</v>
      </c>
      <c r="P56" s="1"/>
    </row>
    <row r="57" spans="2:16">
      <c r="B57" s="7" t="str">
        <f t="shared" si="40"/>
        <v/>
      </c>
      <c r="C57" s="50">
        <f>IF(D11="","-",+C56+1)</f>
        <v>2050</v>
      </c>
      <c r="D57" s="55">
        <f>IF(F56+SUM(E$17:E56)=D$10,F56,D$10-SUM(E$17:E56))</f>
        <v>1409.2090459647115</v>
      </c>
      <c r="E57" s="354">
        <f>IF(+I14&lt;F56,I14,D57)</f>
        <v>581.5</v>
      </c>
      <c r="F57" s="55">
        <f t="shared" si="35"/>
        <v>827.70904596471155</v>
      </c>
      <c r="G57" s="355">
        <f t="shared" si="33"/>
        <v>708.56421110544386</v>
      </c>
      <c r="H57" s="336">
        <f t="shared" si="34"/>
        <v>708.56421110544386</v>
      </c>
      <c r="I57" s="52">
        <f t="shared" si="36"/>
        <v>0</v>
      </c>
      <c r="J57" s="52"/>
      <c r="K57" s="115"/>
      <c r="L57" s="54">
        <f t="shared" si="37"/>
        <v>0</v>
      </c>
      <c r="M57" s="115"/>
      <c r="N57" s="54">
        <f t="shared" si="38"/>
        <v>0</v>
      </c>
      <c r="O57" s="54">
        <f t="shared" si="39"/>
        <v>0</v>
      </c>
      <c r="P57" s="1"/>
    </row>
    <row r="58" spans="2:16">
      <c r="B58" s="7" t="str">
        <f t="shared" si="40"/>
        <v/>
      </c>
      <c r="C58" s="50">
        <f>IF(D11="","-",+C57+1)</f>
        <v>2051</v>
      </c>
      <c r="D58" s="55">
        <f>IF(F57+SUM(E$17:E57)=D$10,F57,D$10-SUM(E$17:E57))</f>
        <v>827.70904596471155</v>
      </c>
      <c r="E58" s="354">
        <f>IF(+I14&lt;F57,I14,D58)</f>
        <v>581.5</v>
      </c>
      <c r="F58" s="55">
        <f t="shared" si="35"/>
        <v>246.20904596471155</v>
      </c>
      <c r="G58" s="355">
        <f t="shared" si="33"/>
        <v>642.50203473484225</v>
      </c>
      <c r="H58" s="336">
        <f t="shared" si="34"/>
        <v>642.50203473484225</v>
      </c>
      <c r="I58" s="52">
        <f t="shared" si="36"/>
        <v>0</v>
      </c>
      <c r="J58" s="52"/>
      <c r="K58" s="115"/>
      <c r="L58" s="54">
        <f t="shared" si="37"/>
        <v>0</v>
      </c>
      <c r="M58" s="115"/>
      <c r="N58" s="54">
        <f t="shared" si="38"/>
        <v>0</v>
      </c>
      <c r="O58" s="54">
        <f t="shared" si="39"/>
        <v>0</v>
      </c>
      <c r="P58" s="1"/>
    </row>
    <row r="59" spans="2:16">
      <c r="B59" s="7" t="str">
        <f t="shared" si="40"/>
        <v/>
      </c>
      <c r="C59" s="50">
        <f>IF(D11="","-",+C58+1)</f>
        <v>2052</v>
      </c>
      <c r="D59" s="55">
        <f>IF(F58+SUM(E$17:E58)=D$10,F58,D$10-SUM(E$17:E58))</f>
        <v>246.20904596471155</v>
      </c>
      <c r="E59" s="354">
        <f>IF(+I14&lt;F58,I14,D59)</f>
        <v>246.20904596471155</v>
      </c>
      <c r="F59" s="55">
        <f t="shared" si="35"/>
        <v>0</v>
      </c>
      <c r="G59" s="355">
        <f t="shared" si="33"/>
        <v>260.19451923948225</v>
      </c>
      <c r="H59" s="336">
        <f t="shared" si="34"/>
        <v>260.19451923948225</v>
      </c>
      <c r="I59" s="52">
        <f t="shared" si="36"/>
        <v>0</v>
      </c>
      <c r="J59" s="52"/>
      <c r="K59" s="115"/>
      <c r="L59" s="54">
        <f t="shared" si="37"/>
        <v>0</v>
      </c>
      <c r="M59" s="115"/>
      <c r="N59" s="54">
        <f t="shared" si="38"/>
        <v>0</v>
      </c>
      <c r="O59" s="54">
        <f t="shared" si="39"/>
        <v>0</v>
      </c>
      <c r="P59" s="1"/>
    </row>
    <row r="60" spans="2:16">
      <c r="B60" s="7" t="str">
        <f t="shared" si="40"/>
        <v/>
      </c>
      <c r="C60" s="50">
        <f>IF(D11="","-",+C59+1)</f>
        <v>2053</v>
      </c>
      <c r="D60" s="55">
        <f>IF(F59+SUM(E$17:E59)=D$10,F59,D$10-SUM(E$17:E59))</f>
        <v>0</v>
      </c>
      <c r="E60" s="354">
        <f>IF(+I14&lt;F59,I14,D60)</f>
        <v>0</v>
      </c>
      <c r="F60" s="55">
        <f t="shared" si="35"/>
        <v>0</v>
      </c>
      <c r="G60" s="355">
        <f t="shared" si="33"/>
        <v>0</v>
      </c>
      <c r="H60" s="336">
        <f t="shared" si="34"/>
        <v>0</v>
      </c>
      <c r="I60" s="52">
        <f t="shared" si="36"/>
        <v>0</v>
      </c>
      <c r="J60" s="52"/>
      <c r="K60" s="115"/>
      <c r="L60" s="54">
        <f t="shared" si="37"/>
        <v>0</v>
      </c>
      <c r="M60" s="115"/>
      <c r="N60" s="54">
        <f t="shared" si="38"/>
        <v>0</v>
      </c>
      <c r="O60" s="54">
        <f t="shared" si="39"/>
        <v>0</v>
      </c>
      <c r="P60" s="1"/>
    </row>
    <row r="61" spans="2:16">
      <c r="B61" s="7" t="str">
        <f t="shared" si="40"/>
        <v/>
      </c>
      <c r="C61" s="50">
        <f>IF(D11="","-",+C60+1)</f>
        <v>2054</v>
      </c>
      <c r="D61" s="55">
        <f>IF(F60+SUM(E$17:E60)=D$10,F60,D$10-SUM(E$17:E60))</f>
        <v>0</v>
      </c>
      <c r="E61" s="354">
        <f>IF(+I14&lt;F60,I14,D61)</f>
        <v>0</v>
      </c>
      <c r="F61" s="55">
        <f t="shared" si="35"/>
        <v>0</v>
      </c>
      <c r="G61" s="355">
        <f t="shared" si="33"/>
        <v>0</v>
      </c>
      <c r="H61" s="336">
        <f t="shared" si="34"/>
        <v>0</v>
      </c>
      <c r="I61" s="52">
        <f t="shared" si="36"/>
        <v>0</v>
      </c>
      <c r="J61" s="52"/>
      <c r="K61" s="115"/>
      <c r="L61" s="54">
        <f t="shared" si="37"/>
        <v>0</v>
      </c>
      <c r="M61" s="115"/>
      <c r="N61" s="54">
        <f t="shared" si="38"/>
        <v>0</v>
      </c>
      <c r="O61" s="54">
        <f t="shared" si="39"/>
        <v>0</v>
      </c>
      <c r="P61" s="1"/>
    </row>
    <row r="62" spans="2:16">
      <c r="B62" s="7" t="str">
        <f t="shared" si="40"/>
        <v/>
      </c>
      <c r="C62" s="50">
        <f>IF(D11="","-",+C61+1)</f>
        <v>2055</v>
      </c>
      <c r="D62" s="55">
        <f>IF(F61+SUM(E$17:E61)=D$10,F61,D$10-SUM(E$17:E61))</f>
        <v>0</v>
      </c>
      <c r="E62" s="354">
        <f>IF(+I14&lt;F61,I14,D62)</f>
        <v>0</v>
      </c>
      <c r="F62" s="55">
        <f t="shared" si="35"/>
        <v>0</v>
      </c>
      <c r="G62" s="355">
        <f t="shared" si="33"/>
        <v>0</v>
      </c>
      <c r="H62" s="336">
        <f t="shared" si="34"/>
        <v>0</v>
      </c>
      <c r="I62" s="52">
        <f t="shared" si="36"/>
        <v>0</v>
      </c>
      <c r="J62" s="52"/>
      <c r="K62" s="115"/>
      <c r="L62" s="54">
        <f t="shared" si="37"/>
        <v>0</v>
      </c>
      <c r="M62" s="115"/>
      <c r="N62" s="54">
        <f t="shared" si="38"/>
        <v>0</v>
      </c>
      <c r="O62" s="54">
        <f t="shared" si="39"/>
        <v>0</v>
      </c>
      <c r="P62" s="1"/>
    </row>
    <row r="63" spans="2:16">
      <c r="B63" s="7" t="str">
        <f t="shared" si="40"/>
        <v/>
      </c>
      <c r="C63" s="50">
        <f>IF(D11="","-",+C62+1)</f>
        <v>2056</v>
      </c>
      <c r="D63" s="55">
        <f>IF(F62+SUM(E$17:E62)=D$10,F62,D$10-SUM(E$17:E62))</f>
        <v>0</v>
      </c>
      <c r="E63" s="354">
        <f>IF(+I14&lt;F62,I14,D63)</f>
        <v>0</v>
      </c>
      <c r="F63" s="55">
        <f t="shared" si="35"/>
        <v>0</v>
      </c>
      <c r="G63" s="355">
        <f t="shared" si="33"/>
        <v>0</v>
      </c>
      <c r="H63" s="336">
        <f t="shared" si="34"/>
        <v>0</v>
      </c>
      <c r="I63" s="52">
        <f t="shared" si="36"/>
        <v>0</v>
      </c>
      <c r="J63" s="52"/>
      <c r="K63" s="115"/>
      <c r="L63" s="54">
        <f t="shared" si="37"/>
        <v>0</v>
      </c>
      <c r="M63" s="115"/>
      <c r="N63" s="54">
        <f t="shared" si="38"/>
        <v>0</v>
      </c>
      <c r="O63" s="54">
        <f t="shared" si="39"/>
        <v>0</v>
      </c>
      <c r="P63" s="1"/>
    </row>
    <row r="64" spans="2:16">
      <c r="B64" s="7" t="str">
        <f t="shared" si="40"/>
        <v/>
      </c>
      <c r="C64" s="50">
        <f>IF(D11="","-",+C63+1)</f>
        <v>2057</v>
      </c>
      <c r="D64" s="55">
        <f>IF(F63+SUM(E$17:E63)=D$10,F63,D$10-SUM(E$17:E63))</f>
        <v>0</v>
      </c>
      <c r="E64" s="354">
        <f>IF(+I14&lt;F63,I14,D64)</f>
        <v>0</v>
      </c>
      <c r="F64" s="55">
        <f t="shared" si="35"/>
        <v>0</v>
      </c>
      <c r="G64" s="355">
        <f t="shared" si="33"/>
        <v>0</v>
      </c>
      <c r="H64" s="336">
        <f t="shared" si="34"/>
        <v>0</v>
      </c>
      <c r="I64" s="52">
        <f t="shared" si="36"/>
        <v>0</v>
      </c>
      <c r="J64" s="52"/>
      <c r="K64" s="115"/>
      <c r="L64" s="54">
        <f t="shared" si="37"/>
        <v>0</v>
      </c>
      <c r="M64" s="115"/>
      <c r="N64" s="54">
        <f t="shared" si="38"/>
        <v>0</v>
      </c>
      <c r="O64" s="54">
        <f t="shared" si="39"/>
        <v>0</v>
      </c>
      <c r="P64" s="1"/>
    </row>
    <row r="65" spans="2:16">
      <c r="B65" s="7" t="str">
        <f t="shared" si="40"/>
        <v/>
      </c>
      <c r="C65" s="50">
        <f>IF(D11="","-",+C64+1)</f>
        <v>2058</v>
      </c>
      <c r="D65" s="55">
        <f>IF(F64+SUM(E$17:E64)=D$10,F64,D$10-SUM(E$17:E64))</f>
        <v>0</v>
      </c>
      <c r="E65" s="354">
        <f>IF(+I14&lt;F64,I14,D65)</f>
        <v>0</v>
      </c>
      <c r="F65" s="55">
        <f t="shared" si="35"/>
        <v>0</v>
      </c>
      <c r="G65" s="355">
        <f t="shared" si="33"/>
        <v>0</v>
      </c>
      <c r="H65" s="336">
        <f t="shared" si="34"/>
        <v>0</v>
      </c>
      <c r="I65" s="52">
        <f t="shared" si="36"/>
        <v>0</v>
      </c>
      <c r="J65" s="52"/>
      <c r="K65" s="115"/>
      <c r="L65" s="54">
        <f t="shared" si="37"/>
        <v>0</v>
      </c>
      <c r="M65" s="115"/>
      <c r="N65" s="54">
        <f t="shared" si="38"/>
        <v>0</v>
      </c>
      <c r="O65" s="54">
        <f t="shared" si="39"/>
        <v>0</v>
      </c>
      <c r="P65" s="1"/>
    </row>
    <row r="66" spans="2:16">
      <c r="B66" s="7" t="str">
        <f t="shared" si="40"/>
        <v/>
      </c>
      <c r="C66" s="50">
        <f>IF(D11="","-",+C65+1)</f>
        <v>2059</v>
      </c>
      <c r="D66" s="55">
        <f>IF(F65+SUM(E$17:E65)=D$10,F65,D$10-SUM(E$17:E65))</f>
        <v>0</v>
      </c>
      <c r="E66" s="354">
        <f>IF(+I14&lt;F65,I14,D66)</f>
        <v>0</v>
      </c>
      <c r="F66" s="55">
        <f t="shared" si="35"/>
        <v>0</v>
      </c>
      <c r="G66" s="355">
        <f t="shared" si="33"/>
        <v>0</v>
      </c>
      <c r="H66" s="336">
        <f t="shared" si="34"/>
        <v>0</v>
      </c>
      <c r="I66" s="52">
        <f t="shared" si="36"/>
        <v>0</v>
      </c>
      <c r="J66" s="52"/>
      <c r="K66" s="115"/>
      <c r="L66" s="54">
        <f t="shared" si="37"/>
        <v>0</v>
      </c>
      <c r="M66" s="115"/>
      <c r="N66" s="54">
        <f t="shared" si="38"/>
        <v>0</v>
      </c>
      <c r="O66" s="54">
        <f t="shared" si="39"/>
        <v>0</v>
      </c>
      <c r="P66" s="1"/>
    </row>
    <row r="67" spans="2:16">
      <c r="B67" s="7" t="str">
        <f t="shared" si="40"/>
        <v/>
      </c>
      <c r="C67" s="50">
        <f>IF(D11="","-",+C66+1)</f>
        <v>2060</v>
      </c>
      <c r="D67" s="55">
        <f>IF(F66+SUM(E$17:E66)=D$10,F66,D$10-SUM(E$17:E66))</f>
        <v>0</v>
      </c>
      <c r="E67" s="354">
        <f>IF(+I14&lt;F66,I14,D67)</f>
        <v>0</v>
      </c>
      <c r="F67" s="55">
        <f t="shared" si="35"/>
        <v>0</v>
      </c>
      <c r="G67" s="355">
        <f t="shared" si="33"/>
        <v>0</v>
      </c>
      <c r="H67" s="336">
        <f t="shared" si="34"/>
        <v>0</v>
      </c>
      <c r="I67" s="52">
        <f t="shared" si="36"/>
        <v>0</v>
      </c>
      <c r="J67" s="52"/>
      <c r="K67" s="115"/>
      <c r="L67" s="54">
        <f t="shared" si="37"/>
        <v>0</v>
      </c>
      <c r="M67" s="115"/>
      <c r="N67" s="54">
        <f t="shared" si="38"/>
        <v>0</v>
      </c>
      <c r="O67" s="54">
        <f t="shared" si="39"/>
        <v>0</v>
      </c>
      <c r="P67" s="1"/>
    </row>
    <row r="68" spans="2:16">
      <c r="B68" s="7" t="str">
        <f t="shared" si="40"/>
        <v/>
      </c>
      <c r="C68" s="50">
        <f>IF(D11="","-",+C67+1)</f>
        <v>2061</v>
      </c>
      <c r="D68" s="55">
        <f>IF(F67+SUM(E$17:E67)=D$10,F67,D$10-SUM(E$17:E67))</f>
        <v>0</v>
      </c>
      <c r="E68" s="354">
        <f>IF(+I14&lt;F67,I14,D68)</f>
        <v>0</v>
      </c>
      <c r="F68" s="55">
        <f t="shared" si="35"/>
        <v>0</v>
      </c>
      <c r="G68" s="355">
        <f t="shared" si="33"/>
        <v>0</v>
      </c>
      <c r="H68" s="336">
        <f t="shared" si="34"/>
        <v>0</v>
      </c>
      <c r="I68" s="52">
        <f t="shared" si="36"/>
        <v>0</v>
      </c>
      <c r="J68" s="52"/>
      <c r="K68" s="115"/>
      <c r="L68" s="54">
        <f t="shared" si="37"/>
        <v>0</v>
      </c>
      <c r="M68" s="115"/>
      <c r="N68" s="54">
        <f t="shared" si="38"/>
        <v>0</v>
      </c>
      <c r="O68" s="54">
        <f t="shared" si="39"/>
        <v>0</v>
      </c>
      <c r="P68" s="1"/>
    </row>
    <row r="69" spans="2:16">
      <c r="B69" s="7" t="str">
        <f t="shared" si="40"/>
        <v/>
      </c>
      <c r="C69" s="50">
        <f>IF(D11="","-",+C68+1)</f>
        <v>2062</v>
      </c>
      <c r="D69" s="55">
        <f>IF(F68+SUM(E$17:E68)=D$10,F68,D$10-SUM(E$17:E68))</f>
        <v>0</v>
      </c>
      <c r="E69" s="354">
        <f>IF(+I14&lt;F68,I14,D69)</f>
        <v>0</v>
      </c>
      <c r="F69" s="55">
        <f t="shared" si="35"/>
        <v>0</v>
      </c>
      <c r="G69" s="355">
        <f t="shared" si="33"/>
        <v>0</v>
      </c>
      <c r="H69" s="336">
        <f t="shared" si="34"/>
        <v>0</v>
      </c>
      <c r="I69" s="52">
        <f t="shared" si="36"/>
        <v>0</v>
      </c>
      <c r="J69" s="52"/>
      <c r="K69" s="115"/>
      <c r="L69" s="54">
        <f t="shared" si="37"/>
        <v>0</v>
      </c>
      <c r="M69" s="115"/>
      <c r="N69" s="54">
        <f t="shared" si="38"/>
        <v>0</v>
      </c>
      <c r="O69" s="54">
        <f t="shared" si="39"/>
        <v>0</v>
      </c>
      <c r="P69" s="1"/>
    </row>
    <row r="70" spans="2:16">
      <c r="B70" s="7" t="str">
        <f t="shared" si="40"/>
        <v/>
      </c>
      <c r="C70" s="50">
        <f>IF(D11="","-",+C69+1)</f>
        <v>2063</v>
      </c>
      <c r="D70" s="55">
        <f>IF(F69+SUM(E$17:E69)=D$10,F69,D$10-SUM(E$17:E69))</f>
        <v>0</v>
      </c>
      <c r="E70" s="354">
        <f>IF(+I14&lt;F69,I14,D70)</f>
        <v>0</v>
      </c>
      <c r="F70" s="55">
        <f t="shared" si="35"/>
        <v>0</v>
      </c>
      <c r="G70" s="355">
        <f t="shared" si="33"/>
        <v>0</v>
      </c>
      <c r="H70" s="336">
        <f t="shared" si="34"/>
        <v>0</v>
      </c>
      <c r="I70" s="52">
        <f t="shared" si="36"/>
        <v>0</v>
      </c>
      <c r="J70" s="52"/>
      <c r="K70" s="115"/>
      <c r="L70" s="54">
        <f t="shared" si="37"/>
        <v>0</v>
      </c>
      <c r="M70" s="115"/>
      <c r="N70" s="54">
        <f t="shared" si="38"/>
        <v>0</v>
      </c>
      <c r="O70" s="54">
        <f t="shared" si="39"/>
        <v>0</v>
      </c>
      <c r="P70" s="1"/>
    </row>
    <row r="71" spans="2:16">
      <c r="B71" s="7" t="str">
        <f t="shared" si="40"/>
        <v/>
      </c>
      <c r="C71" s="50">
        <f>IF(D11="","-",+C70+1)</f>
        <v>2064</v>
      </c>
      <c r="D71" s="55">
        <f>IF(F70+SUM(E$17:E70)=D$10,F70,D$10-SUM(E$17:E70))</f>
        <v>0</v>
      </c>
      <c r="E71" s="354">
        <f>IF(+I14&lt;F70,I14,D71)</f>
        <v>0</v>
      </c>
      <c r="F71" s="55">
        <f t="shared" si="35"/>
        <v>0</v>
      </c>
      <c r="G71" s="355">
        <f t="shared" si="33"/>
        <v>0</v>
      </c>
      <c r="H71" s="336">
        <f t="shared" si="34"/>
        <v>0</v>
      </c>
      <c r="I71" s="52">
        <f t="shared" si="36"/>
        <v>0</v>
      </c>
      <c r="J71" s="52"/>
      <c r="K71" s="115"/>
      <c r="L71" s="54">
        <f t="shared" si="37"/>
        <v>0</v>
      </c>
      <c r="M71" s="115"/>
      <c r="N71" s="54">
        <f t="shared" si="38"/>
        <v>0</v>
      </c>
      <c r="O71" s="54">
        <f t="shared" si="39"/>
        <v>0</v>
      </c>
      <c r="P71" s="1"/>
    </row>
    <row r="72" spans="2:16" ht="13.5" thickBot="1">
      <c r="B72" s="7" t="str">
        <f t="shared" si="40"/>
        <v/>
      </c>
      <c r="C72" s="58">
        <f>IF(D11="","-",+C71+1)</f>
        <v>2065</v>
      </c>
      <c r="D72" s="59">
        <f>IF(F71+SUM(E$17:E71)=D$10,F71,D$10-SUM(E$17:E71))</f>
        <v>0</v>
      </c>
      <c r="E72" s="357">
        <f>IF(+I14&lt;F71,I14,D72)</f>
        <v>0</v>
      </c>
      <c r="F72" s="59">
        <f t="shared" si="35"/>
        <v>0</v>
      </c>
      <c r="G72" s="59">
        <f t="shared" si="33"/>
        <v>0</v>
      </c>
      <c r="H72" s="59">
        <f t="shared" si="34"/>
        <v>0</v>
      </c>
      <c r="I72" s="61">
        <f t="shared" si="36"/>
        <v>0</v>
      </c>
      <c r="J72" s="52"/>
      <c r="K72" s="116"/>
      <c r="L72" s="62">
        <f t="shared" si="37"/>
        <v>0</v>
      </c>
      <c r="M72" s="116"/>
      <c r="N72" s="62">
        <f t="shared" si="38"/>
        <v>0</v>
      </c>
      <c r="O72" s="62">
        <f t="shared" si="39"/>
        <v>0</v>
      </c>
      <c r="P72" s="1"/>
    </row>
    <row r="73" spans="2:16">
      <c r="C73" s="12" t="s">
        <v>77</v>
      </c>
      <c r="D73" s="266"/>
      <c r="E73" s="266">
        <f>SUM(E17:E72)</f>
        <v>22097.000000000004</v>
      </c>
      <c r="F73" s="266"/>
      <c r="G73" s="266">
        <f>SUM(G17:G72)</f>
        <v>77885.235643188309</v>
      </c>
      <c r="H73" s="266">
        <f>SUM(H17:H72)</f>
        <v>77885.235643188309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13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2327.5</v>
      </c>
      <c r="N87" s="364">
        <f>IF(J92&lt;D11,0,VLOOKUP(J92,C17:O72,11))</f>
        <v>2327.5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2447.6578318578077</v>
      </c>
      <c r="N88" s="367">
        <f>IF(J92&lt;D11,0,VLOOKUP(J92,C99:P154,7))</f>
        <v>2447.6578318578077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CoffeyvilleT to Dearing 138 kv Rebuild - 1.1 mi*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120.15783185780765</v>
      </c>
      <c r="N89" s="369">
        <f>+N88-N87</f>
        <v>120.15783185780765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TP2008013</v>
      </c>
      <c r="E91" s="74" t="str">
        <f>E9</f>
        <v xml:space="preserve">  SPP Project ID = 295</v>
      </c>
      <c r="F91" s="74"/>
      <c r="G91" s="74"/>
      <c r="H91" s="74"/>
      <c r="I91" s="74"/>
      <c r="J91" s="74"/>
    </row>
    <row r="92" spans="1:16">
      <c r="C92" s="128" t="s">
        <v>226</v>
      </c>
      <c r="D92" s="335">
        <v>22097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2010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597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417">
        <f>D93</f>
        <v>2010</v>
      </c>
      <c r="D99" s="418">
        <v>0</v>
      </c>
      <c r="E99" s="419">
        <v>0</v>
      </c>
      <c r="F99" s="419">
        <v>0</v>
      </c>
      <c r="G99" s="419">
        <v>0</v>
      </c>
      <c r="H99" s="420">
        <v>0</v>
      </c>
      <c r="I99" s="419">
        <v>0</v>
      </c>
      <c r="J99" s="421">
        <v>0</v>
      </c>
      <c r="K99" s="54"/>
      <c r="L99" s="394">
        <f t="shared" ref="L99:L104" si="41">H99</f>
        <v>0</v>
      </c>
      <c r="M99" s="395">
        <f t="shared" ref="M99:M104" si="42">IF(L99&lt;&gt;0,+H99-L99,0)</f>
        <v>0</v>
      </c>
      <c r="N99" s="394">
        <f t="shared" ref="N99:N104" si="43">I99</f>
        <v>0</v>
      </c>
      <c r="O99" s="53">
        <f t="shared" ref="O99:O104" si="44">IF(N99&lt;&gt;0,+I99-N99,0)</f>
        <v>0</v>
      </c>
      <c r="P99" s="53">
        <f t="shared" ref="P99:P104" si="45">+O99-M99</f>
        <v>0</v>
      </c>
    </row>
    <row r="100" spans="1:16">
      <c r="C100" s="50">
        <f>IF(D91="","-",+C99+1)</f>
        <v>2011</v>
      </c>
      <c r="D100" s="422">
        <v>0</v>
      </c>
      <c r="E100" s="423">
        <v>0</v>
      </c>
      <c r="F100" s="423">
        <v>0</v>
      </c>
      <c r="G100" s="423">
        <v>0</v>
      </c>
      <c r="H100" s="424">
        <v>0</v>
      </c>
      <c r="I100" s="423">
        <v>0</v>
      </c>
      <c r="J100" s="425">
        <v>0</v>
      </c>
      <c r="K100" s="54"/>
      <c r="L100" s="379">
        <f t="shared" si="41"/>
        <v>0</v>
      </c>
      <c r="M100" s="380">
        <f t="shared" si="42"/>
        <v>0</v>
      </c>
      <c r="N100" s="379">
        <f t="shared" si="43"/>
        <v>0</v>
      </c>
      <c r="O100" s="54">
        <f t="shared" si="44"/>
        <v>0</v>
      </c>
      <c r="P100" s="54">
        <f t="shared" si="45"/>
        <v>0</v>
      </c>
    </row>
    <row r="101" spans="1:16">
      <c r="C101" s="50">
        <f>IF(D92="","-",+C100+1)</f>
        <v>2012</v>
      </c>
      <c r="D101" s="405">
        <v>22097</v>
      </c>
      <c r="E101" s="406">
        <v>212.5</v>
      </c>
      <c r="F101" s="407">
        <v>21884.5</v>
      </c>
      <c r="G101" s="407">
        <v>21990.75</v>
      </c>
      <c r="H101" s="409">
        <v>3375.9899363381005</v>
      </c>
      <c r="I101" s="410">
        <v>3375.9899363381005</v>
      </c>
      <c r="J101" s="54">
        <v>0</v>
      </c>
      <c r="K101" s="54"/>
      <c r="L101" s="379">
        <f t="shared" si="41"/>
        <v>3375.9899363381005</v>
      </c>
      <c r="M101" s="380">
        <f t="shared" si="42"/>
        <v>0</v>
      </c>
      <c r="N101" s="379">
        <f t="shared" si="43"/>
        <v>3375.9899363381005</v>
      </c>
      <c r="O101" s="54">
        <f t="shared" si="44"/>
        <v>0</v>
      </c>
      <c r="P101" s="54">
        <f t="shared" si="45"/>
        <v>0</v>
      </c>
    </row>
    <row r="102" spans="1:16">
      <c r="B102" s="7" t="str">
        <f t="shared" ref="B102:B133" si="46">IF(D102=F101,"","IU")</f>
        <v/>
      </c>
      <c r="C102" s="50">
        <f>IF(D93="","-",+C101+1)</f>
        <v>2013</v>
      </c>
      <c r="D102" s="405">
        <v>21884.5</v>
      </c>
      <c r="E102" s="406">
        <v>425</v>
      </c>
      <c r="F102" s="407">
        <v>21459.5</v>
      </c>
      <c r="G102" s="407">
        <v>21672</v>
      </c>
      <c r="H102" s="409">
        <v>3544.458879858515</v>
      </c>
      <c r="I102" s="410">
        <v>3544.458879858515</v>
      </c>
      <c r="J102" s="54">
        <v>0</v>
      </c>
      <c r="K102" s="54"/>
      <c r="L102" s="379">
        <f t="shared" si="41"/>
        <v>3544.458879858515</v>
      </c>
      <c r="M102" s="380">
        <f t="shared" si="42"/>
        <v>0</v>
      </c>
      <c r="N102" s="379">
        <f t="shared" si="43"/>
        <v>3544.458879858515</v>
      </c>
      <c r="O102" s="54">
        <f t="shared" si="44"/>
        <v>0</v>
      </c>
      <c r="P102" s="54">
        <f t="shared" si="45"/>
        <v>0</v>
      </c>
    </row>
    <row r="103" spans="1:16">
      <c r="B103" s="7" t="str">
        <f t="shared" si="46"/>
        <v/>
      </c>
      <c r="C103" s="50">
        <f>IF(D93="","-",+C102+1)</f>
        <v>2014</v>
      </c>
      <c r="D103" s="405">
        <v>21459.5</v>
      </c>
      <c r="E103" s="406">
        <v>425</v>
      </c>
      <c r="F103" s="407">
        <v>21034.5</v>
      </c>
      <c r="G103" s="407">
        <v>21247</v>
      </c>
      <c r="H103" s="409">
        <v>3412.2413474199548</v>
      </c>
      <c r="I103" s="410">
        <v>3412.2413474199548</v>
      </c>
      <c r="J103" s="54">
        <v>0</v>
      </c>
      <c r="K103" s="54"/>
      <c r="L103" s="379">
        <f t="shared" si="41"/>
        <v>3412.2413474199548</v>
      </c>
      <c r="M103" s="380">
        <f t="shared" si="42"/>
        <v>0</v>
      </c>
      <c r="N103" s="379">
        <f t="shared" si="43"/>
        <v>3412.2413474199548</v>
      </c>
      <c r="O103" s="54">
        <f t="shared" si="44"/>
        <v>0</v>
      </c>
      <c r="P103" s="54">
        <f t="shared" si="45"/>
        <v>0</v>
      </c>
    </row>
    <row r="104" spans="1:16">
      <c r="B104" s="7" t="str">
        <f t="shared" si="46"/>
        <v/>
      </c>
      <c r="C104" s="50">
        <f>IF(D93="","-",+C103+1)</f>
        <v>2015</v>
      </c>
      <c r="D104" s="405">
        <v>21034.5</v>
      </c>
      <c r="E104" s="406">
        <v>425</v>
      </c>
      <c r="F104" s="407">
        <v>20609.5</v>
      </c>
      <c r="G104" s="407">
        <v>20822</v>
      </c>
      <c r="H104" s="409">
        <v>3265.9944828697971</v>
      </c>
      <c r="I104" s="410">
        <v>3265.9944828697971</v>
      </c>
      <c r="J104" s="54">
        <f t="shared" ref="J104:J132" si="47">+I104-H104</f>
        <v>0</v>
      </c>
      <c r="K104" s="54"/>
      <c r="L104" s="379">
        <f t="shared" si="41"/>
        <v>3265.9944828697971</v>
      </c>
      <c r="M104" s="380">
        <f t="shared" si="42"/>
        <v>0</v>
      </c>
      <c r="N104" s="379">
        <f t="shared" si="43"/>
        <v>3265.9944828697971</v>
      </c>
      <c r="O104" s="54">
        <f t="shared" si="44"/>
        <v>0</v>
      </c>
      <c r="P104" s="54">
        <f t="shared" si="45"/>
        <v>0</v>
      </c>
    </row>
    <row r="105" spans="1:16">
      <c r="B105" s="7" t="str">
        <f t="shared" si="46"/>
        <v/>
      </c>
      <c r="C105" s="50">
        <f>IF(D93="","-",+C104+1)</f>
        <v>2016</v>
      </c>
      <c r="D105" s="405">
        <v>20609.5</v>
      </c>
      <c r="E105" s="406">
        <v>480</v>
      </c>
      <c r="F105" s="407">
        <v>20129.5</v>
      </c>
      <c r="G105" s="407">
        <v>20369.5</v>
      </c>
      <c r="H105" s="409">
        <v>3105.9493466960757</v>
      </c>
      <c r="I105" s="410">
        <v>3105.9493466960757</v>
      </c>
      <c r="J105" s="54">
        <f t="shared" si="47"/>
        <v>0</v>
      </c>
      <c r="K105" s="54"/>
      <c r="L105" s="379">
        <f>H105</f>
        <v>3105.9493466960757</v>
      </c>
      <c r="M105" s="380">
        <f>IF(L105&lt;&gt;0,+H105-L105,0)</f>
        <v>0</v>
      </c>
      <c r="N105" s="379">
        <f>I105</f>
        <v>3105.9493466960757</v>
      </c>
      <c r="O105" s="54">
        <f t="shared" ref="O105:O109" si="48">IF(N105&lt;&gt;0,+I105-N105,0)</f>
        <v>0</v>
      </c>
      <c r="P105" s="54">
        <f>+O105-M105</f>
        <v>0</v>
      </c>
    </row>
    <row r="106" spans="1:16">
      <c r="B106" s="7" t="str">
        <f t="shared" si="46"/>
        <v/>
      </c>
      <c r="C106" s="50">
        <f>IF(D93="","-",+C105+1)</f>
        <v>2017</v>
      </c>
      <c r="D106" s="405">
        <v>20129.5</v>
      </c>
      <c r="E106" s="406">
        <v>480</v>
      </c>
      <c r="F106" s="407">
        <v>19649.5</v>
      </c>
      <c r="G106" s="407">
        <v>19889.5</v>
      </c>
      <c r="H106" s="409">
        <v>3003.0332263920673</v>
      </c>
      <c r="I106" s="410">
        <v>3003.0332263920673</v>
      </c>
      <c r="J106" s="54">
        <f t="shared" si="47"/>
        <v>0</v>
      </c>
      <c r="K106" s="54"/>
      <c r="L106" s="379">
        <f>H106</f>
        <v>3003.0332263920673</v>
      </c>
      <c r="M106" s="380">
        <f>IF(L106&lt;&gt;0,+H106-L106,0)</f>
        <v>0</v>
      </c>
      <c r="N106" s="379">
        <f>I106</f>
        <v>3003.0332263920673</v>
      </c>
      <c r="O106" s="54">
        <f t="shared" si="48"/>
        <v>0</v>
      </c>
      <c r="P106" s="54">
        <f>+O106-M106</f>
        <v>0</v>
      </c>
    </row>
    <row r="107" spans="1:16">
      <c r="B107" s="7" t="str">
        <f t="shared" si="46"/>
        <v/>
      </c>
      <c r="C107" s="50">
        <f>IF(D93="","-",+C106+1)</f>
        <v>2018</v>
      </c>
      <c r="D107" s="405">
        <v>19649.5</v>
      </c>
      <c r="E107" s="406">
        <v>514</v>
      </c>
      <c r="F107" s="407">
        <v>19135.5</v>
      </c>
      <c r="G107" s="407">
        <v>19392.5</v>
      </c>
      <c r="H107" s="409">
        <v>2506.299479691007</v>
      </c>
      <c r="I107" s="410">
        <v>2506.299479691007</v>
      </c>
      <c r="J107" s="54">
        <f t="shared" si="47"/>
        <v>0</v>
      </c>
      <c r="K107" s="54"/>
      <c r="L107" s="379">
        <f>H107</f>
        <v>2506.299479691007</v>
      </c>
      <c r="M107" s="380">
        <f>IF(L107&lt;&gt;0,+H107-L107,0)</f>
        <v>0</v>
      </c>
      <c r="N107" s="379">
        <f>I107</f>
        <v>2506.299479691007</v>
      </c>
      <c r="O107" s="54">
        <f t="shared" si="48"/>
        <v>0</v>
      </c>
      <c r="P107" s="54">
        <f>+O107-M107</f>
        <v>0</v>
      </c>
    </row>
    <row r="108" spans="1:16">
      <c r="B108" s="7" t="str">
        <f t="shared" si="46"/>
        <v/>
      </c>
      <c r="C108" s="50">
        <f>IF(D93="","-",+C107+1)</f>
        <v>2019</v>
      </c>
      <c r="D108" s="405">
        <v>19135.5</v>
      </c>
      <c r="E108" s="406">
        <v>539</v>
      </c>
      <c r="F108" s="407">
        <v>18596.5</v>
      </c>
      <c r="G108" s="407">
        <v>18866</v>
      </c>
      <c r="H108" s="409">
        <v>2484.3492160371716</v>
      </c>
      <c r="I108" s="410">
        <v>2484.3492160371716</v>
      </c>
      <c r="J108" s="54">
        <f t="shared" si="47"/>
        <v>0</v>
      </c>
      <c r="K108" s="54"/>
      <c r="L108" s="379">
        <f>H108</f>
        <v>2484.3492160371716</v>
      </c>
      <c r="M108" s="380">
        <f>IF(L108&lt;&gt;0,+H108-L108,0)</f>
        <v>0</v>
      </c>
      <c r="N108" s="379">
        <f>I108</f>
        <v>2484.3492160371716</v>
      </c>
      <c r="O108" s="54">
        <f t="shared" si="48"/>
        <v>0</v>
      </c>
      <c r="P108" s="54">
        <f t="shared" ref="P108:P130" si="49">+O108-M108</f>
        <v>0</v>
      </c>
    </row>
    <row r="109" spans="1:16">
      <c r="B109" s="7" t="str">
        <f t="shared" si="46"/>
        <v/>
      </c>
      <c r="C109" s="50">
        <f>IF(D93="","-",+C108+1)</f>
        <v>2020</v>
      </c>
      <c r="D109" s="405">
        <v>18596.5</v>
      </c>
      <c r="E109" s="406">
        <v>514</v>
      </c>
      <c r="F109" s="407">
        <v>18082.5</v>
      </c>
      <c r="G109" s="407">
        <v>18339.5</v>
      </c>
      <c r="H109" s="409">
        <v>2628.4939297021565</v>
      </c>
      <c r="I109" s="410">
        <v>2628.4939297021565</v>
      </c>
      <c r="J109" s="54">
        <f t="shared" si="47"/>
        <v>0</v>
      </c>
      <c r="K109" s="54"/>
      <c r="L109" s="379">
        <f>H109</f>
        <v>2628.4939297021565</v>
      </c>
      <c r="M109" s="380">
        <f>IF(L109&lt;&gt;0,+H109-L109,0)</f>
        <v>0</v>
      </c>
      <c r="N109" s="379">
        <f>I109</f>
        <v>2628.4939297021565</v>
      </c>
      <c r="O109" s="54">
        <f t="shared" si="48"/>
        <v>0</v>
      </c>
      <c r="P109" s="54">
        <f t="shared" si="49"/>
        <v>0</v>
      </c>
    </row>
    <row r="110" spans="1:16">
      <c r="B110" s="7" t="str">
        <f t="shared" si="46"/>
        <v/>
      </c>
      <c r="C110" s="50">
        <f>IF(D93="","-",+C109+1)</f>
        <v>2021</v>
      </c>
      <c r="D110" s="405">
        <v>18082.5</v>
      </c>
      <c r="E110" s="406">
        <v>567</v>
      </c>
      <c r="F110" s="407">
        <v>17515.5</v>
      </c>
      <c r="G110" s="407">
        <v>17799</v>
      </c>
      <c r="H110" s="409">
        <v>2528.1410385336903</v>
      </c>
      <c r="I110" s="410">
        <v>2528.1410385336903</v>
      </c>
      <c r="J110" s="54">
        <f t="shared" si="47"/>
        <v>0</v>
      </c>
      <c r="K110" s="54"/>
      <c r="L110" s="379">
        <f t="shared" ref="L110:L111" si="50">H110</f>
        <v>2528.1410385336903</v>
      </c>
      <c r="M110" s="380">
        <f t="shared" ref="M110:M111" si="51">IF(L110&lt;&gt;0,+H110-L110,0)</f>
        <v>0</v>
      </c>
      <c r="N110" s="379">
        <f t="shared" ref="N110:N111" si="52">I110</f>
        <v>2528.1410385336903</v>
      </c>
      <c r="O110" s="54">
        <f t="shared" ref="O110:O111" si="53">IF(N110&lt;&gt;0,+I110-N110,0)</f>
        <v>0</v>
      </c>
      <c r="P110" s="54">
        <f t="shared" ref="P110:P111" si="54">+O110-M110</f>
        <v>0</v>
      </c>
    </row>
    <row r="111" spans="1:16">
      <c r="B111" s="7" t="str">
        <f t="shared" si="46"/>
        <v/>
      </c>
      <c r="C111" s="50">
        <f>IF(D93="","-",+C110+1)</f>
        <v>2022</v>
      </c>
      <c r="D111" s="405">
        <v>17515.5</v>
      </c>
      <c r="E111" s="406">
        <v>567</v>
      </c>
      <c r="F111" s="407">
        <v>16948.5</v>
      </c>
      <c r="G111" s="407">
        <v>17232</v>
      </c>
      <c r="H111" s="409">
        <v>2465.6674743531971</v>
      </c>
      <c r="I111" s="410">
        <v>2465.6674743531971</v>
      </c>
      <c r="J111" s="54">
        <f t="shared" si="47"/>
        <v>0</v>
      </c>
      <c r="K111" s="54"/>
      <c r="L111" s="379">
        <f t="shared" si="50"/>
        <v>2465.6674743531971</v>
      </c>
      <c r="M111" s="380">
        <f t="shared" si="51"/>
        <v>0</v>
      </c>
      <c r="N111" s="379">
        <f t="shared" si="52"/>
        <v>2465.6674743531971</v>
      </c>
      <c r="O111" s="54">
        <f t="shared" si="53"/>
        <v>0</v>
      </c>
      <c r="P111" s="54">
        <f t="shared" si="54"/>
        <v>0</v>
      </c>
    </row>
    <row r="112" spans="1:16">
      <c r="B112" s="7" t="str">
        <f t="shared" si="46"/>
        <v/>
      </c>
      <c r="C112" s="50">
        <f>IF(D93="","-",+C111+1)</f>
        <v>2023</v>
      </c>
      <c r="D112" s="405">
        <v>16948.5</v>
      </c>
      <c r="E112" s="406">
        <v>582</v>
      </c>
      <c r="F112" s="407">
        <v>16366.5</v>
      </c>
      <c r="G112" s="407">
        <v>16657.5</v>
      </c>
      <c r="H112" s="409">
        <v>2484.7371362712865</v>
      </c>
      <c r="I112" s="410">
        <v>2484.7371362712865</v>
      </c>
      <c r="J112" s="54">
        <f t="shared" si="47"/>
        <v>0</v>
      </c>
      <c r="K112" s="54"/>
      <c r="L112" s="379">
        <f t="shared" ref="L112" si="55">H112</f>
        <v>2484.7371362712865</v>
      </c>
      <c r="M112" s="380">
        <f t="shared" ref="M112" si="56">IF(L112&lt;&gt;0,+H112-L112,0)</f>
        <v>0</v>
      </c>
      <c r="N112" s="379">
        <f t="shared" ref="N112" si="57">I112</f>
        <v>2484.7371362712865</v>
      </c>
      <c r="O112" s="54">
        <f t="shared" ref="O112" si="58">IF(N112&lt;&gt;0,+I112-N112,0)</f>
        <v>0</v>
      </c>
      <c r="P112" s="54">
        <f t="shared" ref="P112" si="59">+O112-M112</f>
        <v>0</v>
      </c>
    </row>
    <row r="113" spans="2:16">
      <c r="B113" s="7" t="str">
        <f t="shared" si="46"/>
        <v/>
      </c>
      <c r="C113" s="50">
        <f>IF(D93="","-",+C112+1)</f>
        <v>2024</v>
      </c>
      <c r="D113" s="405">
        <v>16366.5</v>
      </c>
      <c r="E113" s="406">
        <v>597</v>
      </c>
      <c r="F113" s="407">
        <v>15769.5</v>
      </c>
      <c r="G113" s="407">
        <v>16068</v>
      </c>
      <c r="H113" s="409">
        <v>2755.2330283814026</v>
      </c>
      <c r="I113" s="410">
        <v>2755.2330283814026</v>
      </c>
      <c r="J113" s="54">
        <f t="shared" si="47"/>
        <v>0</v>
      </c>
      <c r="K113" s="54"/>
      <c r="L113" s="379">
        <f t="shared" ref="L113" si="60">H113</f>
        <v>2755.2330283814026</v>
      </c>
      <c r="M113" s="380">
        <f t="shared" ref="M113" si="61">IF(L113&lt;&gt;0,+H113-L113,0)</f>
        <v>0</v>
      </c>
      <c r="N113" s="379">
        <f t="shared" ref="N113" si="62">I113</f>
        <v>2755.2330283814026</v>
      </c>
      <c r="O113" s="54">
        <f t="shared" ref="O113" si="63">IF(N113&lt;&gt;0,+I113-N113,0)</f>
        <v>0</v>
      </c>
      <c r="P113" s="54">
        <f t="shared" ref="P113" si="64">+O113-M113</f>
        <v>0</v>
      </c>
    </row>
    <row r="114" spans="2:16">
      <c r="B114" s="7" t="str">
        <f t="shared" si="46"/>
        <v/>
      </c>
      <c r="C114" s="50">
        <f>IF(D93="","-",+C113+1)</f>
        <v>2025</v>
      </c>
      <c r="D114" s="12">
        <f>IF(F113+SUM(E$101:E113)=D$92,F113,D$92-SUM(E$101:E113))</f>
        <v>15769.5</v>
      </c>
      <c r="E114" s="355">
        <f>IF(+J96&lt;F113,J96,D114)</f>
        <v>597</v>
      </c>
      <c r="F114" s="55">
        <f t="shared" ref="F114:F133" si="65">+D114-E114</f>
        <v>15172.5</v>
      </c>
      <c r="G114" s="55">
        <f t="shared" ref="G114:G132" si="66">+(F114+D114)/2</f>
        <v>15471</v>
      </c>
      <c r="H114" s="355">
        <f t="shared" ref="H114:H153" si="67">(D114+F114)/2*J$94+E114</f>
        <v>2447.6578318578077</v>
      </c>
      <c r="I114" s="381">
        <f t="shared" ref="I114:I153" si="68">+J$95*G114+E114</f>
        <v>2447.6578318578077</v>
      </c>
      <c r="J114" s="54">
        <f t="shared" si="47"/>
        <v>0</v>
      </c>
      <c r="K114" s="54"/>
      <c r="L114" s="115"/>
      <c r="M114" s="54">
        <f t="shared" ref="M114:M130" si="69">IF(L114&lt;&gt;0,+H116-L114,0)</f>
        <v>0</v>
      </c>
      <c r="N114" s="115"/>
      <c r="O114" s="54">
        <f t="shared" ref="O114:O154" si="70">IF(N114&lt;&gt;0,+I114-N114,0)</f>
        <v>0</v>
      </c>
      <c r="P114" s="54">
        <f t="shared" si="49"/>
        <v>0</v>
      </c>
    </row>
    <row r="115" spans="2:16">
      <c r="B115" s="7" t="str">
        <f t="shared" si="46"/>
        <v/>
      </c>
      <c r="C115" s="50">
        <f>IF(D93="","-",+C114+1)</f>
        <v>2026</v>
      </c>
      <c r="D115" s="12">
        <f>IF(F114+SUM(E$101:E114)=D$92,F114,D$92-SUM(E$101:E114))</f>
        <v>15172.5</v>
      </c>
      <c r="E115" s="355">
        <f>IF(+J96&lt;F114,J96,D115)</f>
        <v>597</v>
      </c>
      <c r="F115" s="55">
        <f t="shared" si="65"/>
        <v>14575.5</v>
      </c>
      <c r="G115" s="55">
        <f t="shared" si="66"/>
        <v>14874</v>
      </c>
      <c r="H115" s="355">
        <f t="shared" si="67"/>
        <v>2376.2440431163486</v>
      </c>
      <c r="I115" s="381">
        <f t="shared" si="68"/>
        <v>2376.2440431163486</v>
      </c>
      <c r="J115" s="54">
        <f t="shared" si="47"/>
        <v>0</v>
      </c>
      <c r="K115" s="54"/>
      <c r="L115" s="115"/>
      <c r="M115" s="54">
        <f t="shared" si="69"/>
        <v>0</v>
      </c>
      <c r="N115" s="115"/>
      <c r="O115" s="54">
        <f t="shared" si="70"/>
        <v>0</v>
      </c>
      <c r="P115" s="54">
        <f t="shared" si="49"/>
        <v>0</v>
      </c>
    </row>
    <row r="116" spans="2:16">
      <c r="B116" s="7" t="str">
        <f t="shared" si="46"/>
        <v/>
      </c>
      <c r="C116" s="50">
        <f>IF(D93="","-",+C115+1)</f>
        <v>2027</v>
      </c>
      <c r="D116" s="12">
        <f>IF(F115+SUM(E$101:E115)=D$92,F115,D$92-SUM(E$101:E115))</f>
        <v>14575.5</v>
      </c>
      <c r="E116" s="355">
        <f>IF(+J96&lt;F115,J96,D116)</f>
        <v>597</v>
      </c>
      <c r="F116" s="55">
        <f t="shared" si="65"/>
        <v>13978.5</v>
      </c>
      <c r="G116" s="55">
        <f t="shared" si="66"/>
        <v>14277</v>
      </c>
      <c r="H116" s="355">
        <f t="shared" si="67"/>
        <v>2304.8302543748896</v>
      </c>
      <c r="I116" s="381">
        <f t="shared" si="68"/>
        <v>2304.8302543748896</v>
      </c>
      <c r="J116" s="54">
        <f t="shared" si="47"/>
        <v>0</v>
      </c>
      <c r="K116" s="54"/>
      <c r="L116" s="115"/>
      <c r="M116" s="54">
        <f t="shared" si="69"/>
        <v>0</v>
      </c>
      <c r="N116" s="115"/>
      <c r="O116" s="54">
        <f t="shared" si="70"/>
        <v>0</v>
      </c>
      <c r="P116" s="54">
        <f t="shared" si="49"/>
        <v>0</v>
      </c>
    </row>
    <row r="117" spans="2:16">
      <c r="B117" s="7" t="str">
        <f t="shared" si="46"/>
        <v/>
      </c>
      <c r="C117" s="50">
        <f>IF(D93="","-",+C116+1)</f>
        <v>2028</v>
      </c>
      <c r="D117" s="12">
        <f>IF(F116+SUM(E$101:E116)=D$92,F116,D$92-SUM(E$101:E116))</f>
        <v>13978.5</v>
      </c>
      <c r="E117" s="355">
        <f>IF(+J96&lt;F116,J96,D117)</f>
        <v>597</v>
      </c>
      <c r="F117" s="55">
        <f t="shared" si="65"/>
        <v>13381.5</v>
      </c>
      <c r="G117" s="55">
        <f t="shared" si="66"/>
        <v>13680</v>
      </c>
      <c r="H117" s="355">
        <f t="shared" si="67"/>
        <v>2233.4164656334306</v>
      </c>
      <c r="I117" s="381">
        <f t="shared" si="68"/>
        <v>2233.4164656334306</v>
      </c>
      <c r="J117" s="54">
        <f t="shared" si="47"/>
        <v>0</v>
      </c>
      <c r="K117" s="54"/>
      <c r="L117" s="115"/>
      <c r="M117" s="54">
        <f t="shared" si="69"/>
        <v>0</v>
      </c>
      <c r="N117" s="115"/>
      <c r="O117" s="54">
        <f t="shared" si="70"/>
        <v>0</v>
      </c>
      <c r="P117" s="54">
        <f t="shared" si="49"/>
        <v>0</v>
      </c>
    </row>
    <row r="118" spans="2:16">
      <c r="B118" s="7" t="str">
        <f t="shared" si="46"/>
        <v/>
      </c>
      <c r="C118" s="50">
        <f>IF(D93="","-",+C117+1)</f>
        <v>2029</v>
      </c>
      <c r="D118" s="12">
        <f>IF(F117+SUM(E$101:E117)=D$92,F117,D$92-SUM(E$101:E117))</f>
        <v>13381.5</v>
      </c>
      <c r="E118" s="355">
        <f>IF(+J96&lt;F117,J96,D118)</f>
        <v>597</v>
      </c>
      <c r="F118" s="55">
        <f t="shared" si="65"/>
        <v>12784.5</v>
      </c>
      <c r="G118" s="55">
        <f t="shared" si="66"/>
        <v>13083</v>
      </c>
      <c r="H118" s="355">
        <f t="shared" si="67"/>
        <v>2162.0026768919715</v>
      </c>
      <c r="I118" s="381">
        <f t="shared" si="68"/>
        <v>2162.0026768919715</v>
      </c>
      <c r="J118" s="54">
        <f t="shared" si="47"/>
        <v>0</v>
      </c>
      <c r="K118" s="54"/>
      <c r="L118" s="115"/>
      <c r="M118" s="54">
        <f t="shared" si="69"/>
        <v>0</v>
      </c>
      <c r="N118" s="115"/>
      <c r="O118" s="54">
        <f t="shared" si="70"/>
        <v>0</v>
      </c>
      <c r="P118" s="54">
        <f t="shared" si="49"/>
        <v>0</v>
      </c>
    </row>
    <row r="119" spans="2:16">
      <c r="B119" s="7" t="str">
        <f t="shared" si="46"/>
        <v/>
      </c>
      <c r="C119" s="50">
        <f>IF(D93="","-",+C118+1)</f>
        <v>2030</v>
      </c>
      <c r="D119" s="12">
        <f>IF(F118+SUM(E$101:E118)=D$92,F118,D$92-SUM(E$101:E118))</f>
        <v>12784.5</v>
      </c>
      <c r="E119" s="355">
        <f t="shared" ref="E119:E154" si="71">IF(+J$96&lt;F118,J$96,D119)</f>
        <v>597</v>
      </c>
      <c r="F119" s="55">
        <f t="shared" si="65"/>
        <v>12187.5</v>
      </c>
      <c r="G119" s="55">
        <f t="shared" si="66"/>
        <v>12486</v>
      </c>
      <c r="H119" s="355">
        <f t="shared" si="67"/>
        <v>2090.588888150513</v>
      </c>
      <c r="I119" s="381">
        <f t="shared" si="68"/>
        <v>2090.588888150513</v>
      </c>
      <c r="J119" s="54">
        <f t="shared" si="47"/>
        <v>0</v>
      </c>
      <c r="K119" s="54"/>
      <c r="L119" s="115"/>
      <c r="M119" s="54">
        <f t="shared" si="69"/>
        <v>0</v>
      </c>
      <c r="N119" s="115"/>
      <c r="O119" s="54">
        <f t="shared" si="70"/>
        <v>0</v>
      </c>
      <c r="P119" s="54">
        <f t="shared" si="49"/>
        <v>0</v>
      </c>
    </row>
    <row r="120" spans="2:16">
      <c r="B120" s="7" t="str">
        <f t="shared" si="46"/>
        <v/>
      </c>
      <c r="C120" s="50">
        <f>IF(D93="","-",+C119+1)</f>
        <v>2031</v>
      </c>
      <c r="D120" s="12">
        <f>IF(F119+SUM(E$101:E119)=D$92,F119,D$92-SUM(E$101:E119))</f>
        <v>12187.5</v>
      </c>
      <c r="E120" s="355">
        <f t="shared" si="71"/>
        <v>597</v>
      </c>
      <c r="F120" s="55">
        <f t="shared" si="65"/>
        <v>11590.5</v>
      </c>
      <c r="G120" s="55">
        <f t="shared" si="66"/>
        <v>11889</v>
      </c>
      <c r="H120" s="355">
        <f t="shared" si="67"/>
        <v>2019.1750994090539</v>
      </c>
      <c r="I120" s="381">
        <f t="shared" si="68"/>
        <v>2019.1750994090539</v>
      </c>
      <c r="J120" s="54">
        <f t="shared" si="47"/>
        <v>0</v>
      </c>
      <c r="K120" s="54"/>
      <c r="L120" s="115"/>
      <c r="M120" s="54">
        <f t="shared" si="69"/>
        <v>0</v>
      </c>
      <c r="N120" s="115"/>
      <c r="O120" s="54">
        <f t="shared" si="70"/>
        <v>0</v>
      </c>
      <c r="P120" s="54">
        <f t="shared" si="49"/>
        <v>0</v>
      </c>
    </row>
    <row r="121" spans="2:16">
      <c r="B121" s="7" t="str">
        <f t="shared" si="46"/>
        <v/>
      </c>
      <c r="C121" s="50">
        <f>IF(D93="","-",+C120+1)</f>
        <v>2032</v>
      </c>
      <c r="D121" s="12">
        <f>IF(F120+SUM(E$101:E120)=D$92,F120,D$92-SUM(E$101:E120))</f>
        <v>11590.5</v>
      </c>
      <c r="E121" s="355">
        <f t="shared" si="71"/>
        <v>597</v>
      </c>
      <c r="F121" s="55">
        <f t="shared" si="65"/>
        <v>10993.5</v>
      </c>
      <c r="G121" s="55">
        <f t="shared" si="66"/>
        <v>11292</v>
      </c>
      <c r="H121" s="355">
        <f t="shared" si="67"/>
        <v>1947.7613106675951</v>
      </c>
      <c r="I121" s="381">
        <f t="shared" si="68"/>
        <v>1947.7613106675951</v>
      </c>
      <c r="J121" s="54">
        <f t="shared" si="47"/>
        <v>0</v>
      </c>
      <c r="K121" s="54"/>
      <c r="L121" s="115"/>
      <c r="M121" s="54">
        <f t="shared" si="69"/>
        <v>0</v>
      </c>
      <c r="N121" s="115"/>
      <c r="O121" s="54">
        <f t="shared" si="70"/>
        <v>0</v>
      </c>
      <c r="P121" s="54">
        <f t="shared" si="49"/>
        <v>0</v>
      </c>
    </row>
    <row r="122" spans="2:16">
      <c r="B122" s="7" t="str">
        <f t="shared" si="46"/>
        <v/>
      </c>
      <c r="C122" s="50">
        <f>IF(D93="","-",+C121+1)</f>
        <v>2033</v>
      </c>
      <c r="D122" s="12">
        <f>IF(F121+SUM(E$101:E121)=D$92,F121,D$92-SUM(E$101:E121))</f>
        <v>10993.5</v>
      </c>
      <c r="E122" s="355">
        <f t="shared" si="71"/>
        <v>597</v>
      </c>
      <c r="F122" s="55">
        <f t="shared" si="65"/>
        <v>10396.5</v>
      </c>
      <c r="G122" s="55">
        <f t="shared" si="66"/>
        <v>10695</v>
      </c>
      <c r="H122" s="355">
        <f t="shared" si="67"/>
        <v>1876.3475219261361</v>
      </c>
      <c r="I122" s="381">
        <f t="shared" si="68"/>
        <v>1876.3475219261361</v>
      </c>
      <c r="J122" s="54">
        <f t="shared" si="47"/>
        <v>0</v>
      </c>
      <c r="K122" s="54"/>
      <c r="L122" s="115"/>
      <c r="M122" s="54">
        <f t="shared" si="69"/>
        <v>0</v>
      </c>
      <c r="N122" s="115"/>
      <c r="O122" s="54">
        <f t="shared" si="70"/>
        <v>0</v>
      </c>
      <c r="P122" s="54">
        <f t="shared" si="49"/>
        <v>0</v>
      </c>
    </row>
    <row r="123" spans="2:16">
      <c r="B123" s="7" t="str">
        <f t="shared" si="46"/>
        <v/>
      </c>
      <c r="C123" s="50">
        <f>IF(D93="","-",+C122+1)</f>
        <v>2034</v>
      </c>
      <c r="D123" s="12">
        <f>IF(F122+SUM(E$101:E122)=D$92,F122,D$92-SUM(E$101:E122))</f>
        <v>10396.5</v>
      </c>
      <c r="E123" s="355">
        <f t="shared" si="71"/>
        <v>597</v>
      </c>
      <c r="F123" s="55">
        <f t="shared" si="65"/>
        <v>9799.5</v>
      </c>
      <c r="G123" s="55">
        <f t="shared" si="66"/>
        <v>10098</v>
      </c>
      <c r="H123" s="355">
        <f t="shared" si="67"/>
        <v>1804.9337331846771</v>
      </c>
      <c r="I123" s="381">
        <f t="shared" si="68"/>
        <v>1804.9337331846771</v>
      </c>
      <c r="J123" s="54">
        <f t="shared" si="47"/>
        <v>0</v>
      </c>
      <c r="K123" s="54"/>
      <c r="L123" s="115"/>
      <c r="M123" s="54">
        <f t="shared" si="69"/>
        <v>0</v>
      </c>
      <c r="N123" s="115"/>
      <c r="O123" s="54">
        <f t="shared" si="70"/>
        <v>0</v>
      </c>
      <c r="P123" s="54">
        <f t="shared" si="49"/>
        <v>0</v>
      </c>
    </row>
    <row r="124" spans="2:16">
      <c r="B124" s="7" t="str">
        <f t="shared" si="46"/>
        <v/>
      </c>
      <c r="C124" s="50">
        <f>IF(D93="","-",+C123+1)</f>
        <v>2035</v>
      </c>
      <c r="D124" s="12">
        <f>IF(F123+SUM(E$101:E123)=D$92,F123,D$92-SUM(E$101:E123))</f>
        <v>9799.5</v>
      </c>
      <c r="E124" s="355">
        <f t="shared" si="71"/>
        <v>597</v>
      </c>
      <c r="F124" s="55">
        <f t="shared" si="65"/>
        <v>9202.5</v>
      </c>
      <c r="G124" s="55">
        <f t="shared" si="66"/>
        <v>9501</v>
      </c>
      <c r="H124" s="355">
        <f t="shared" si="67"/>
        <v>1733.5199444432183</v>
      </c>
      <c r="I124" s="381">
        <f t="shared" si="68"/>
        <v>1733.5199444432183</v>
      </c>
      <c r="J124" s="54">
        <f t="shared" si="47"/>
        <v>0</v>
      </c>
      <c r="K124" s="54"/>
      <c r="L124" s="115"/>
      <c r="M124" s="54">
        <f t="shared" si="69"/>
        <v>0</v>
      </c>
      <c r="N124" s="115"/>
      <c r="O124" s="54">
        <f t="shared" si="70"/>
        <v>0</v>
      </c>
      <c r="P124" s="54">
        <f t="shared" si="49"/>
        <v>0</v>
      </c>
    </row>
    <row r="125" spans="2:16">
      <c r="B125" s="7" t="str">
        <f t="shared" si="46"/>
        <v/>
      </c>
      <c r="C125" s="50">
        <f>IF(D93="","-",+C124+1)</f>
        <v>2036</v>
      </c>
      <c r="D125" s="12">
        <f>IF(F124+SUM(E$101:E124)=D$92,F124,D$92-SUM(E$101:E124))</f>
        <v>9202.5</v>
      </c>
      <c r="E125" s="355">
        <f t="shared" si="71"/>
        <v>597</v>
      </c>
      <c r="F125" s="55">
        <f t="shared" si="65"/>
        <v>8605.5</v>
      </c>
      <c r="G125" s="55">
        <f t="shared" si="66"/>
        <v>8904</v>
      </c>
      <c r="H125" s="355">
        <f t="shared" si="67"/>
        <v>1662.1061557017592</v>
      </c>
      <c r="I125" s="381">
        <f t="shared" si="68"/>
        <v>1662.1061557017592</v>
      </c>
      <c r="J125" s="54">
        <f t="shared" si="47"/>
        <v>0</v>
      </c>
      <c r="K125" s="54"/>
      <c r="L125" s="115"/>
      <c r="M125" s="54">
        <f t="shared" si="69"/>
        <v>0</v>
      </c>
      <c r="N125" s="115"/>
      <c r="O125" s="54">
        <f t="shared" si="70"/>
        <v>0</v>
      </c>
      <c r="P125" s="54">
        <f t="shared" si="49"/>
        <v>0</v>
      </c>
    </row>
    <row r="126" spans="2:16">
      <c r="B126" s="7" t="str">
        <f t="shared" si="46"/>
        <v/>
      </c>
      <c r="C126" s="50">
        <f>IF(D93="","-",+C125+1)</f>
        <v>2037</v>
      </c>
      <c r="D126" s="12">
        <f>IF(F125+SUM(E$101:E125)=D$92,F125,D$92-SUM(E$101:E125))</f>
        <v>8605.5</v>
      </c>
      <c r="E126" s="355">
        <f t="shared" si="71"/>
        <v>597</v>
      </c>
      <c r="F126" s="55">
        <f t="shared" si="65"/>
        <v>8008.5</v>
      </c>
      <c r="G126" s="55">
        <f t="shared" si="66"/>
        <v>8307</v>
      </c>
      <c r="H126" s="355">
        <f t="shared" si="67"/>
        <v>1590.6923669603004</v>
      </c>
      <c r="I126" s="381">
        <f t="shared" si="68"/>
        <v>1590.6923669603004</v>
      </c>
      <c r="J126" s="54">
        <f t="shared" si="47"/>
        <v>0</v>
      </c>
      <c r="K126" s="54"/>
      <c r="L126" s="115"/>
      <c r="M126" s="54">
        <f t="shared" si="69"/>
        <v>0</v>
      </c>
      <c r="N126" s="115"/>
      <c r="O126" s="54">
        <f t="shared" si="70"/>
        <v>0</v>
      </c>
      <c r="P126" s="54">
        <f t="shared" si="49"/>
        <v>0</v>
      </c>
    </row>
    <row r="127" spans="2:16">
      <c r="B127" s="7" t="str">
        <f t="shared" si="46"/>
        <v/>
      </c>
      <c r="C127" s="50">
        <f>IF(D93="","-",+C126+1)</f>
        <v>2038</v>
      </c>
      <c r="D127" s="12">
        <f>IF(F126+SUM(E$101:E126)=D$92,F126,D$92-SUM(E$101:E126))</f>
        <v>8008.5</v>
      </c>
      <c r="E127" s="355">
        <f t="shared" si="71"/>
        <v>597</v>
      </c>
      <c r="F127" s="55">
        <f t="shared" si="65"/>
        <v>7411.5</v>
      </c>
      <c r="G127" s="55">
        <f t="shared" si="66"/>
        <v>7710</v>
      </c>
      <c r="H127" s="355">
        <f t="shared" si="67"/>
        <v>1519.2785782188414</v>
      </c>
      <c r="I127" s="381">
        <f t="shared" si="68"/>
        <v>1519.2785782188414</v>
      </c>
      <c r="J127" s="54">
        <f t="shared" si="47"/>
        <v>0</v>
      </c>
      <c r="K127" s="54"/>
      <c r="L127" s="115"/>
      <c r="M127" s="54">
        <f t="shared" si="69"/>
        <v>0</v>
      </c>
      <c r="N127" s="115"/>
      <c r="O127" s="54">
        <f t="shared" si="70"/>
        <v>0</v>
      </c>
      <c r="P127" s="54">
        <f t="shared" si="49"/>
        <v>0</v>
      </c>
    </row>
    <row r="128" spans="2:16">
      <c r="B128" s="7" t="str">
        <f t="shared" si="46"/>
        <v/>
      </c>
      <c r="C128" s="50">
        <f>IF(D93="","-",+C127+1)</f>
        <v>2039</v>
      </c>
      <c r="D128" s="12">
        <f>IF(F127+SUM(E$101:E127)=D$92,F127,D$92-SUM(E$101:E127))</f>
        <v>7411.5</v>
      </c>
      <c r="E128" s="355">
        <f t="shared" si="71"/>
        <v>597</v>
      </c>
      <c r="F128" s="55">
        <f t="shared" si="65"/>
        <v>6814.5</v>
      </c>
      <c r="G128" s="55">
        <f t="shared" si="66"/>
        <v>7113</v>
      </c>
      <c r="H128" s="355">
        <f t="shared" si="67"/>
        <v>1447.8647894773826</v>
      </c>
      <c r="I128" s="381">
        <f t="shared" si="68"/>
        <v>1447.8647894773826</v>
      </c>
      <c r="J128" s="54">
        <f t="shared" si="47"/>
        <v>0</v>
      </c>
      <c r="K128" s="54"/>
      <c r="L128" s="115"/>
      <c r="M128" s="54">
        <f t="shared" si="69"/>
        <v>0</v>
      </c>
      <c r="N128" s="115"/>
      <c r="O128" s="54">
        <f t="shared" si="70"/>
        <v>0</v>
      </c>
      <c r="P128" s="54">
        <f t="shared" si="49"/>
        <v>0</v>
      </c>
    </row>
    <row r="129" spans="2:16">
      <c r="B129" s="7" t="str">
        <f t="shared" si="46"/>
        <v/>
      </c>
      <c r="C129" s="50">
        <f>IF(D93="","-",+C128+1)</f>
        <v>2040</v>
      </c>
      <c r="D129" s="12">
        <f>IF(F128+SUM(E$101:E128)=D$92,F128,D$92-SUM(E$101:E128))</f>
        <v>6814.5</v>
      </c>
      <c r="E129" s="355">
        <f t="shared" si="71"/>
        <v>597</v>
      </c>
      <c r="F129" s="55">
        <f t="shared" si="65"/>
        <v>6217.5</v>
      </c>
      <c r="G129" s="55">
        <f t="shared" si="66"/>
        <v>6516</v>
      </c>
      <c r="H129" s="355">
        <f t="shared" si="67"/>
        <v>1376.4510007359236</v>
      </c>
      <c r="I129" s="381">
        <f t="shared" si="68"/>
        <v>1376.4510007359236</v>
      </c>
      <c r="J129" s="54">
        <f t="shared" si="47"/>
        <v>0</v>
      </c>
      <c r="K129" s="54"/>
      <c r="L129" s="115"/>
      <c r="M129" s="54">
        <f t="shared" si="69"/>
        <v>0</v>
      </c>
      <c r="N129" s="115"/>
      <c r="O129" s="54">
        <f t="shared" si="70"/>
        <v>0</v>
      </c>
      <c r="P129" s="54">
        <f t="shared" si="49"/>
        <v>0</v>
      </c>
    </row>
    <row r="130" spans="2:16">
      <c r="B130" s="7" t="str">
        <f t="shared" si="46"/>
        <v/>
      </c>
      <c r="C130" s="50">
        <f>IF(D93="","-",+C129+1)</f>
        <v>2041</v>
      </c>
      <c r="D130" s="12">
        <f>IF(F129+SUM(E$101:E129)=D$92,F129,D$92-SUM(E$101:E129))</f>
        <v>6217.5</v>
      </c>
      <c r="E130" s="355">
        <f t="shared" si="71"/>
        <v>597</v>
      </c>
      <c r="F130" s="55">
        <f t="shared" si="65"/>
        <v>5620.5</v>
      </c>
      <c r="G130" s="55">
        <f t="shared" si="66"/>
        <v>5919</v>
      </c>
      <c r="H130" s="355">
        <f t="shared" si="67"/>
        <v>1305.0372119944645</v>
      </c>
      <c r="I130" s="381">
        <f t="shared" si="68"/>
        <v>1305.0372119944645</v>
      </c>
      <c r="J130" s="54">
        <f t="shared" si="47"/>
        <v>0</v>
      </c>
      <c r="K130" s="54"/>
      <c r="L130" s="115"/>
      <c r="M130" s="54">
        <f t="shared" si="69"/>
        <v>0</v>
      </c>
      <c r="N130" s="115"/>
      <c r="O130" s="54">
        <f t="shared" si="70"/>
        <v>0</v>
      </c>
      <c r="P130" s="54">
        <f t="shared" si="49"/>
        <v>0</v>
      </c>
    </row>
    <row r="131" spans="2:16">
      <c r="B131" s="7" t="str">
        <f t="shared" si="46"/>
        <v/>
      </c>
      <c r="C131" s="50">
        <f>IF(D93="","-",+C130+1)</f>
        <v>2042</v>
      </c>
      <c r="D131" s="12">
        <f>IF(F130+SUM(E$101:E130)=D$92,F130,D$92-SUM(E$101:E130))</f>
        <v>5620.5</v>
      </c>
      <c r="E131" s="355">
        <f t="shared" si="71"/>
        <v>597</v>
      </c>
      <c r="F131" s="55">
        <f t="shared" si="65"/>
        <v>5023.5</v>
      </c>
      <c r="G131" s="55">
        <f t="shared" si="66"/>
        <v>5322</v>
      </c>
      <c r="H131" s="355">
        <f t="shared" si="67"/>
        <v>1233.6234232530057</v>
      </c>
      <c r="I131" s="381">
        <f t="shared" si="68"/>
        <v>1233.6234232530057</v>
      </c>
      <c r="J131" s="54">
        <f t="shared" si="47"/>
        <v>0</v>
      </c>
      <c r="K131" s="54"/>
      <c r="L131" s="115"/>
      <c r="M131" s="54">
        <f t="shared" ref="M131:M154" si="72">IF(L541&lt;&gt;0,+H541-L541,0)</f>
        <v>0</v>
      </c>
      <c r="N131" s="115"/>
      <c r="O131" s="54">
        <f t="shared" si="70"/>
        <v>0</v>
      </c>
      <c r="P131" s="54">
        <f t="shared" ref="P131:P154" si="73">+O541-M541</f>
        <v>0</v>
      </c>
    </row>
    <row r="132" spans="2:16">
      <c r="B132" s="7" t="str">
        <f t="shared" si="46"/>
        <v/>
      </c>
      <c r="C132" s="50">
        <f>IF(D93="","-",+C131+1)</f>
        <v>2043</v>
      </c>
      <c r="D132" s="12">
        <f>IF(F131+SUM(E$101:E131)=D$92,F131,D$92-SUM(E$101:E131))</f>
        <v>5023.5</v>
      </c>
      <c r="E132" s="355">
        <f t="shared" si="71"/>
        <v>597</v>
      </c>
      <c r="F132" s="55">
        <f t="shared" si="65"/>
        <v>4426.5</v>
      </c>
      <c r="G132" s="55">
        <f t="shared" si="66"/>
        <v>4725</v>
      </c>
      <c r="H132" s="355">
        <f t="shared" si="67"/>
        <v>1162.2096345115469</v>
      </c>
      <c r="I132" s="381">
        <f t="shared" si="68"/>
        <v>1162.2096345115469</v>
      </c>
      <c r="J132" s="54">
        <f t="shared" si="47"/>
        <v>0</v>
      </c>
      <c r="K132" s="54"/>
      <c r="L132" s="115"/>
      <c r="M132" s="54">
        <f t="shared" si="72"/>
        <v>0</v>
      </c>
      <c r="N132" s="115"/>
      <c r="O132" s="54">
        <f t="shared" si="70"/>
        <v>0</v>
      </c>
      <c r="P132" s="54">
        <f t="shared" si="73"/>
        <v>0</v>
      </c>
    </row>
    <row r="133" spans="2:16">
      <c r="B133" s="7" t="str">
        <f t="shared" si="46"/>
        <v/>
      </c>
      <c r="C133" s="50">
        <f>IF(D93="","-",+C132+1)</f>
        <v>2044</v>
      </c>
      <c r="D133" s="12">
        <f>IF(F132+SUM(E$101:E132)=D$92,F132,D$92-SUM(E$101:E132))</f>
        <v>4426.5</v>
      </c>
      <c r="E133" s="355">
        <f t="shared" si="71"/>
        <v>597</v>
      </c>
      <c r="F133" s="55">
        <f t="shared" si="65"/>
        <v>3829.5</v>
      </c>
      <c r="G133" s="55">
        <f t="shared" ref="G133:G154" si="74">+(F133+D133)/2</f>
        <v>4128</v>
      </c>
      <c r="H133" s="355">
        <f t="shared" si="67"/>
        <v>1090.7958457700879</v>
      </c>
      <c r="I133" s="381">
        <f t="shared" si="68"/>
        <v>1090.7958457700879</v>
      </c>
      <c r="J133" s="54">
        <f t="shared" ref="J133:J154" si="75">+I541-H541</f>
        <v>0</v>
      </c>
      <c r="K133" s="54"/>
      <c r="L133" s="115"/>
      <c r="M133" s="54">
        <f t="shared" si="72"/>
        <v>0</v>
      </c>
      <c r="N133" s="115"/>
      <c r="O133" s="54">
        <f t="shared" si="70"/>
        <v>0</v>
      </c>
      <c r="P133" s="54">
        <f t="shared" si="73"/>
        <v>0</v>
      </c>
    </row>
    <row r="134" spans="2:16">
      <c r="B134" s="7" t="str">
        <f t="shared" ref="B134:B154" si="76">IF(D134=F133,"","IU")</f>
        <v/>
      </c>
      <c r="C134" s="50">
        <f>IF(D93="","-",+C133+1)</f>
        <v>2045</v>
      </c>
      <c r="D134" s="12">
        <f>IF(F133+SUM(E$101:E133)=D$92,F133,D$92-SUM(E$101:E133))</f>
        <v>3829.5</v>
      </c>
      <c r="E134" s="355">
        <f t="shared" si="71"/>
        <v>597</v>
      </c>
      <c r="F134" s="55">
        <f t="shared" ref="F134:F154" si="77">+D134-E134</f>
        <v>3232.5</v>
      </c>
      <c r="G134" s="55">
        <f t="shared" si="74"/>
        <v>3531</v>
      </c>
      <c r="H134" s="355">
        <f t="shared" si="67"/>
        <v>1019.3820570286289</v>
      </c>
      <c r="I134" s="381">
        <f t="shared" si="68"/>
        <v>1019.3820570286289</v>
      </c>
      <c r="J134" s="54">
        <f t="shared" si="75"/>
        <v>0</v>
      </c>
      <c r="K134" s="54"/>
      <c r="L134" s="115"/>
      <c r="M134" s="54">
        <f t="shared" si="72"/>
        <v>0</v>
      </c>
      <c r="N134" s="115"/>
      <c r="O134" s="54">
        <f t="shared" si="70"/>
        <v>0</v>
      </c>
      <c r="P134" s="54">
        <f t="shared" si="73"/>
        <v>0</v>
      </c>
    </row>
    <row r="135" spans="2:16">
      <c r="B135" s="7" t="str">
        <f t="shared" si="76"/>
        <v/>
      </c>
      <c r="C135" s="50">
        <f>IF(D93="","-",+C134+1)</f>
        <v>2046</v>
      </c>
      <c r="D135" s="12">
        <f>IF(F134+SUM(E$101:E134)=D$92,F134,D$92-SUM(E$101:E134))</f>
        <v>3232.5</v>
      </c>
      <c r="E135" s="355">
        <f t="shared" si="71"/>
        <v>597</v>
      </c>
      <c r="F135" s="55">
        <f t="shared" si="77"/>
        <v>2635.5</v>
      </c>
      <c r="G135" s="55">
        <f t="shared" si="74"/>
        <v>2934</v>
      </c>
      <c r="H135" s="355">
        <f t="shared" si="67"/>
        <v>947.96826828717008</v>
      </c>
      <c r="I135" s="381">
        <f t="shared" si="68"/>
        <v>947.96826828717008</v>
      </c>
      <c r="J135" s="54">
        <f t="shared" si="75"/>
        <v>0</v>
      </c>
      <c r="K135" s="54"/>
      <c r="L135" s="115"/>
      <c r="M135" s="54">
        <f t="shared" si="72"/>
        <v>0</v>
      </c>
      <c r="N135" s="115"/>
      <c r="O135" s="54">
        <f t="shared" si="70"/>
        <v>0</v>
      </c>
      <c r="P135" s="54">
        <f t="shared" si="73"/>
        <v>0</v>
      </c>
    </row>
    <row r="136" spans="2:16">
      <c r="B136" s="7" t="str">
        <f t="shared" si="76"/>
        <v/>
      </c>
      <c r="C136" s="50">
        <f>IF(D93="","-",+C135+1)</f>
        <v>2047</v>
      </c>
      <c r="D136" s="12">
        <f>IF(F135+SUM(E$101:E135)=D$92,F135,D$92-SUM(E$101:E135))</f>
        <v>2635.5</v>
      </c>
      <c r="E136" s="355">
        <f t="shared" si="71"/>
        <v>597</v>
      </c>
      <c r="F136" s="55">
        <f t="shared" si="77"/>
        <v>2038.5</v>
      </c>
      <c r="G136" s="55">
        <f t="shared" si="74"/>
        <v>2337</v>
      </c>
      <c r="H136" s="355">
        <f t="shared" si="67"/>
        <v>876.55447954571105</v>
      </c>
      <c r="I136" s="381">
        <f t="shared" si="68"/>
        <v>876.55447954571105</v>
      </c>
      <c r="J136" s="54">
        <f t="shared" si="75"/>
        <v>0</v>
      </c>
      <c r="K136" s="54"/>
      <c r="L136" s="115"/>
      <c r="M136" s="54">
        <f t="shared" si="72"/>
        <v>0</v>
      </c>
      <c r="N136" s="115"/>
      <c r="O136" s="54">
        <f t="shared" si="70"/>
        <v>0</v>
      </c>
      <c r="P136" s="54">
        <f t="shared" si="73"/>
        <v>0</v>
      </c>
    </row>
    <row r="137" spans="2:16">
      <c r="B137" s="7" t="str">
        <f t="shared" si="76"/>
        <v/>
      </c>
      <c r="C137" s="50">
        <f>IF(D93="","-",+C136+1)</f>
        <v>2048</v>
      </c>
      <c r="D137" s="12">
        <f>IF(F136+SUM(E$101:E136)=D$92,F136,D$92-SUM(E$101:E136))</f>
        <v>2038.5</v>
      </c>
      <c r="E137" s="355">
        <f t="shared" si="71"/>
        <v>597</v>
      </c>
      <c r="F137" s="55">
        <f t="shared" si="77"/>
        <v>1441.5</v>
      </c>
      <c r="G137" s="55">
        <f t="shared" si="74"/>
        <v>1740</v>
      </c>
      <c r="H137" s="355">
        <f t="shared" si="67"/>
        <v>805.14069080425213</v>
      </c>
      <c r="I137" s="381">
        <f t="shared" si="68"/>
        <v>805.14069080425213</v>
      </c>
      <c r="J137" s="54">
        <f t="shared" si="75"/>
        <v>0</v>
      </c>
      <c r="K137" s="54"/>
      <c r="L137" s="115"/>
      <c r="M137" s="54">
        <f t="shared" si="72"/>
        <v>0</v>
      </c>
      <c r="N137" s="115"/>
      <c r="O137" s="54">
        <f t="shared" si="70"/>
        <v>0</v>
      </c>
      <c r="P137" s="54">
        <f t="shared" si="73"/>
        <v>0</v>
      </c>
    </row>
    <row r="138" spans="2:16">
      <c r="B138" s="7" t="str">
        <f t="shared" si="76"/>
        <v/>
      </c>
      <c r="C138" s="50">
        <f>IF(D93="","-",+C137+1)</f>
        <v>2049</v>
      </c>
      <c r="D138" s="12">
        <f>IF(F137+SUM(E$101:E137)=D$92,F137,D$92-SUM(E$101:E137))</f>
        <v>1441.5</v>
      </c>
      <c r="E138" s="355">
        <f t="shared" si="71"/>
        <v>597</v>
      </c>
      <c r="F138" s="55">
        <f t="shared" si="77"/>
        <v>844.5</v>
      </c>
      <c r="G138" s="55">
        <f t="shared" si="74"/>
        <v>1143</v>
      </c>
      <c r="H138" s="355">
        <f t="shared" si="67"/>
        <v>733.72690206279322</v>
      </c>
      <c r="I138" s="381">
        <f t="shared" si="68"/>
        <v>733.72690206279322</v>
      </c>
      <c r="J138" s="54">
        <f t="shared" si="75"/>
        <v>0</v>
      </c>
      <c r="K138" s="54"/>
      <c r="L138" s="115"/>
      <c r="M138" s="54">
        <f t="shared" si="72"/>
        <v>0</v>
      </c>
      <c r="N138" s="115"/>
      <c r="O138" s="54">
        <f t="shared" si="70"/>
        <v>0</v>
      </c>
      <c r="P138" s="54">
        <f t="shared" si="73"/>
        <v>0</v>
      </c>
    </row>
    <row r="139" spans="2:16">
      <c r="B139" s="7" t="str">
        <f t="shared" si="76"/>
        <v/>
      </c>
      <c r="C139" s="50">
        <f>IF(D93="","-",+C138+1)</f>
        <v>2050</v>
      </c>
      <c r="D139" s="12">
        <f>IF(F138+SUM(E$101:E138)=D$92,F138,D$92-SUM(E$101:E138))</f>
        <v>844.5</v>
      </c>
      <c r="E139" s="355">
        <f t="shared" si="71"/>
        <v>597</v>
      </c>
      <c r="F139" s="55">
        <f t="shared" si="77"/>
        <v>247.5</v>
      </c>
      <c r="G139" s="55">
        <f t="shared" si="74"/>
        <v>546</v>
      </c>
      <c r="H139" s="355">
        <f t="shared" si="67"/>
        <v>662.3131133213343</v>
      </c>
      <c r="I139" s="381">
        <f t="shared" si="68"/>
        <v>662.3131133213343</v>
      </c>
      <c r="J139" s="54">
        <f t="shared" si="75"/>
        <v>0</v>
      </c>
      <c r="K139" s="54"/>
      <c r="L139" s="115"/>
      <c r="M139" s="54">
        <f t="shared" si="72"/>
        <v>0</v>
      </c>
      <c r="N139" s="115"/>
      <c r="O139" s="54">
        <f t="shared" si="70"/>
        <v>0</v>
      </c>
      <c r="P139" s="54">
        <f t="shared" si="73"/>
        <v>0</v>
      </c>
    </row>
    <row r="140" spans="2:16">
      <c r="B140" s="7" t="str">
        <f t="shared" si="76"/>
        <v/>
      </c>
      <c r="C140" s="50">
        <f>IF(D93="","-",+C139+1)</f>
        <v>2051</v>
      </c>
      <c r="D140" s="12">
        <f>IF(F139+SUM(E$101:E139)=D$92,F139,D$92-SUM(E$101:E139))</f>
        <v>247.5</v>
      </c>
      <c r="E140" s="355">
        <f t="shared" si="71"/>
        <v>247.5</v>
      </c>
      <c r="F140" s="55">
        <f t="shared" si="77"/>
        <v>0</v>
      </c>
      <c r="G140" s="55">
        <f t="shared" si="74"/>
        <v>123.75</v>
      </c>
      <c r="H140" s="355">
        <f t="shared" si="67"/>
        <v>262.30310947530239</v>
      </c>
      <c r="I140" s="381">
        <f t="shared" si="68"/>
        <v>262.30310947530239</v>
      </c>
      <c r="J140" s="54">
        <f t="shared" si="75"/>
        <v>0</v>
      </c>
      <c r="K140" s="54"/>
      <c r="L140" s="115"/>
      <c r="M140" s="54">
        <f t="shared" si="72"/>
        <v>0</v>
      </c>
      <c r="N140" s="115"/>
      <c r="O140" s="54">
        <f t="shared" si="70"/>
        <v>0</v>
      </c>
      <c r="P140" s="54">
        <f t="shared" si="73"/>
        <v>0</v>
      </c>
    </row>
    <row r="141" spans="2:16">
      <c r="B141" s="7" t="str">
        <f t="shared" si="76"/>
        <v/>
      </c>
      <c r="C141" s="50">
        <f>IF(D93="","-",+C140+1)</f>
        <v>2052</v>
      </c>
      <c r="D141" s="12">
        <f>IF(F140+SUM(E$101:E140)=D$92,F140,D$92-SUM(E$101:E140))</f>
        <v>0</v>
      </c>
      <c r="E141" s="355">
        <f t="shared" si="71"/>
        <v>0</v>
      </c>
      <c r="F141" s="55">
        <f t="shared" si="77"/>
        <v>0</v>
      </c>
      <c r="G141" s="55">
        <f t="shared" si="74"/>
        <v>0</v>
      </c>
      <c r="H141" s="355">
        <f t="shared" si="67"/>
        <v>0</v>
      </c>
      <c r="I141" s="381">
        <f t="shared" si="68"/>
        <v>0</v>
      </c>
      <c r="J141" s="54">
        <f t="shared" si="75"/>
        <v>0</v>
      </c>
      <c r="K141" s="54"/>
      <c r="L141" s="115"/>
      <c r="M141" s="54">
        <f t="shared" si="72"/>
        <v>0</v>
      </c>
      <c r="N141" s="115"/>
      <c r="O141" s="54">
        <f t="shared" si="70"/>
        <v>0</v>
      </c>
      <c r="P141" s="54">
        <f t="shared" si="73"/>
        <v>0</v>
      </c>
    </row>
    <row r="142" spans="2:16">
      <c r="B142" s="7" t="str">
        <f t="shared" si="76"/>
        <v/>
      </c>
      <c r="C142" s="50">
        <f>IF(D93="","-",+C141+1)</f>
        <v>2053</v>
      </c>
      <c r="D142" s="12">
        <f>IF(F141+SUM(E$101:E141)=D$92,F141,D$92-SUM(E$101:E141))</f>
        <v>0</v>
      </c>
      <c r="E142" s="355">
        <f t="shared" si="71"/>
        <v>0</v>
      </c>
      <c r="F142" s="55">
        <f t="shared" si="77"/>
        <v>0</v>
      </c>
      <c r="G142" s="55">
        <f t="shared" si="74"/>
        <v>0</v>
      </c>
      <c r="H142" s="355">
        <f t="shared" si="67"/>
        <v>0</v>
      </c>
      <c r="I142" s="381">
        <f t="shared" si="68"/>
        <v>0</v>
      </c>
      <c r="J142" s="54">
        <f t="shared" si="75"/>
        <v>0</v>
      </c>
      <c r="K142" s="54"/>
      <c r="L142" s="115"/>
      <c r="M142" s="54">
        <f t="shared" si="72"/>
        <v>0</v>
      </c>
      <c r="N142" s="115"/>
      <c r="O142" s="54">
        <f t="shared" si="70"/>
        <v>0</v>
      </c>
      <c r="P142" s="54">
        <f t="shared" si="73"/>
        <v>0</v>
      </c>
    </row>
    <row r="143" spans="2:16">
      <c r="B143" s="7" t="str">
        <f t="shared" si="76"/>
        <v/>
      </c>
      <c r="C143" s="50">
        <f>IF(D93="","-",+C142+1)</f>
        <v>2054</v>
      </c>
      <c r="D143" s="12">
        <f>IF(F142+SUM(E$101:E142)=D$92,F142,D$92-SUM(E$101:E142))</f>
        <v>0</v>
      </c>
      <c r="E143" s="355">
        <f t="shared" si="71"/>
        <v>0</v>
      </c>
      <c r="F143" s="55">
        <f t="shared" si="77"/>
        <v>0</v>
      </c>
      <c r="G143" s="55">
        <f t="shared" si="74"/>
        <v>0</v>
      </c>
      <c r="H143" s="355">
        <f t="shared" si="67"/>
        <v>0</v>
      </c>
      <c r="I143" s="381">
        <f t="shared" si="68"/>
        <v>0</v>
      </c>
      <c r="J143" s="54">
        <f t="shared" si="75"/>
        <v>0</v>
      </c>
      <c r="K143" s="54"/>
      <c r="L143" s="115"/>
      <c r="M143" s="54">
        <f t="shared" si="72"/>
        <v>0</v>
      </c>
      <c r="N143" s="115"/>
      <c r="O143" s="54">
        <f t="shared" si="70"/>
        <v>0</v>
      </c>
      <c r="P143" s="54">
        <f t="shared" si="73"/>
        <v>0</v>
      </c>
    </row>
    <row r="144" spans="2:16">
      <c r="B144" s="7" t="str">
        <f t="shared" si="76"/>
        <v/>
      </c>
      <c r="C144" s="50">
        <f>IF(D93="","-",+C143+1)</f>
        <v>2055</v>
      </c>
      <c r="D144" s="12">
        <f>IF(F143+SUM(E$101:E143)=D$92,F143,D$92-SUM(E$101:E143))</f>
        <v>0</v>
      </c>
      <c r="E144" s="355">
        <f t="shared" si="71"/>
        <v>0</v>
      </c>
      <c r="F144" s="55">
        <f t="shared" si="77"/>
        <v>0</v>
      </c>
      <c r="G144" s="55">
        <f t="shared" si="74"/>
        <v>0</v>
      </c>
      <c r="H144" s="355">
        <f t="shared" si="67"/>
        <v>0</v>
      </c>
      <c r="I144" s="381">
        <f t="shared" si="68"/>
        <v>0</v>
      </c>
      <c r="J144" s="54">
        <f t="shared" si="75"/>
        <v>0</v>
      </c>
      <c r="K144" s="54"/>
      <c r="L144" s="115"/>
      <c r="M144" s="54">
        <f t="shared" si="72"/>
        <v>0</v>
      </c>
      <c r="N144" s="115"/>
      <c r="O144" s="54">
        <f t="shared" si="70"/>
        <v>0</v>
      </c>
      <c r="P144" s="54">
        <f t="shared" si="73"/>
        <v>0</v>
      </c>
    </row>
    <row r="145" spans="2:16">
      <c r="B145" s="7" t="str">
        <f t="shared" si="76"/>
        <v/>
      </c>
      <c r="C145" s="50">
        <f>IF(D93="","-",+C144+1)</f>
        <v>2056</v>
      </c>
      <c r="D145" s="12">
        <f>IF(F144+SUM(E$101:E144)=D$92,F144,D$92-SUM(E$101:E144))</f>
        <v>0</v>
      </c>
      <c r="E145" s="355">
        <f t="shared" si="71"/>
        <v>0</v>
      </c>
      <c r="F145" s="55">
        <f t="shared" si="77"/>
        <v>0</v>
      </c>
      <c r="G145" s="55">
        <f t="shared" si="74"/>
        <v>0</v>
      </c>
      <c r="H145" s="355">
        <f t="shared" si="67"/>
        <v>0</v>
      </c>
      <c r="I145" s="381">
        <f t="shared" si="68"/>
        <v>0</v>
      </c>
      <c r="J145" s="54">
        <f t="shared" si="75"/>
        <v>0</v>
      </c>
      <c r="K145" s="54"/>
      <c r="L145" s="115"/>
      <c r="M145" s="54">
        <f t="shared" si="72"/>
        <v>0</v>
      </c>
      <c r="N145" s="115"/>
      <c r="O145" s="54">
        <f t="shared" si="70"/>
        <v>0</v>
      </c>
      <c r="P145" s="54">
        <f t="shared" si="73"/>
        <v>0</v>
      </c>
    </row>
    <row r="146" spans="2:16">
      <c r="B146" s="7" t="str">
        <f t="shared" si="76"/>
        <v/>
      </c>
      <c r="C146" s="50">
        <f>IF(D93="","-",+C145+1)</f>
        <v>2057</v>
      </c>
      <c r="D146" s="12">
        <f>IF(F145+SUM(E$101:E145)=D$92,F145,D$92-SUM(E$101:E145))</f>
        <v>0</v>
      </c>
      <c r="E146" s="355">
        <f t="shared" si="71"/>
        <v>0</v>
      </c>
      <c r="F146" s="55">
        <f t="shared" si="77"/>
        <v>0</v>
      </c>
      <c r="G146" s="55">
        <f t="shared" si="74"/>
        <v>0</v>
      </c>
      <c r="H146" s="355">
        <f t="shared" si="67"/>
        <v>0</v>
      </c>
      <c r="I146" s="381">
        <f t="shared" si="68"/>
        <v>0</v>
      </c>
      <c r="J146" s="54">
        <f t="shared" si="75"/>
        <v>0</v>
      </c>
      <c r="K146" s="54"/>
      <c r="L146" s="115"/>
      <c r="M146" s="54">
        <f t="shared" si="72"/>
        <v>0</v>
      </c>
      <c r="N146" s="115"/>
      <c r="O146" s="54">
        <f t="shared" si="70"/>
        <v>0</v>
      </c>
      <c r="P146" s="54">
        <f t="shared" si="73"/>
        <v>0</v>
      </c>
    </row>
    <row r="147" spans="2:16">
      <c r="B147" s="7" t="str">
        <f t="shared" si="76"/>
        <v/>
      </c>
      <c r="C147" s="50">
        <f>IF(D93="","-",+C146+1)</f>
        <v>2058</v>
      </c>
      <c r="D147" s="12">
        <f>IF(F146+SUM(E$101:E146)=D$92,F146,D$92-SUM(E$101:E146))</f>
        <v>0</v>
      </c>
      <c r="E147" s="355">
        <f t="shared" si="71"/>
        <v>0</v>
      </c>
      <c r="F147" s="55">
        <f t="shared" si="77"/>
        <v>0</v>
      </c>
      <c r="G147" s="55">
        <f t="shared" si="74"/>
        <v>0</v>
      </c>
      <c r="H147" s="355">
        <f t="shared" si="67"/>
        <v>0</v>
      </c>
      <c r="I147" s="381">
        <f t="shared" si="68"/>
        <v>0</v>
      </c>
      <c r="J147" s="54">
        <f t="shared" si="75"/>
        <v>0</v>
      </c>
      <c r="K147" s="54"/>
      <c r="L147" s="115"/>
      <c r="M147" s="54">
        <f t="shared" si="72"/>
        <v>0</v>
      </c>
      <c r="N147" s="115"/>
      <c r="O147" s="54">
        <f t="shared" si="70"/>
        <v>0</v>
      </c>
      <c r="P147" s="54">
        <f t="shared" si="73"/>
        <v>0</v>
      </c>
    </row>
    <row r="148" spans="2:16">
      <c r="B148" s="7" t="str">
        <f t="shared" si="76"/>
        <v/>
      </c>
      <c r="C148" s="50">
        <f>IF(D93="","-",+C147+1)</f>
        <v>2059</v>
      </c>
      <c r="D148" s="12">
        <f>IF(F147+SUM(E$101:E147)=D$92,F147,D$92-SUM(E$101:E147))</f>
        <v>0</v>
      </c>
      <c r="E148" s="355">
        <f t="shared" si="71"/>
        <v>0</v>
      </c>
      <c r="F148" s="55">
        <f t="shared" si="77"/>
        <v>0</v>
      </c>
      <c r="G148" s="55">
        <f t="shared" si="74"/>
        <v>0</v>
      </c>
      <c r="H148" s="355">
        <f t="shared" si="67"/>
        <v>0</v>
      </c>
      <c r="I148" s="381">
        <f t="shared" si="68"/>
        <v>0</v>
      </c>
      <c r="J148" s="54">
        <f t="shared" si="75"/>
        <v>0</v>
      </c>
      <c r="K148" s="54"/>
      <c r="L148" s="115"/>
      <c r="M148" s="54">
        <f t="shared" si="72"/>
        <v>0</v>
      </c>
      <c r="N148" s="115"/>
      <c r="O148" s="54">
        <f t="shared" si="70"/>
        <v>0</v>
      </c>
      <c r="P148" s="54">
        <f t="shared" si="73"/>
        <v>0</v>
      </c>
    </row>
    <row r="149" spans="2:16">
      <c r="B149" s="7" t="str">
        <f t="shared" si="76"/>
        <v/>
      </c>
      <c r="C149" s="50">
        <f>IF(D93="","-",+C148+1)</f>
        <v>2060</v>
      </c>
      <c r="D149" s="12">
        <f>IF(F148+SUM(E$101:E148)=D$92,F148,D$92-SUM(E$101:E148))</f>
        <v>0</v>
      </c>
      <c r="E149" s="355">
        <f t="shared" si="71"/>
        <v>0</v>
      </c>
      <c r="F149" s="55">
        <f t="shared" si="77"/>
        <v>0</v>
      </c>
      <c r="G149" s="55">
        <f t="shared" si="74"/>
        <v>0</v>
      </c>
      <c r="H149" s="355">
        <f t="shared" si="67"/>
        <v>0</v>
      </c>
      <c r="I149" s="381">
        <f t="shared" si="68"/>
        <v>0</v>
      </c>
      <c r="J149" s="54">
        <f t="shared" si="75"/>
        <v>0</v>
      </c>
      <c r="K149" s="54"/>
      <c r="L149" s="115"/>
      <c r="M149" s="54">
        <f t="shared" si="72"/>
        <v>0</v>
      </c>
      <c r="N149" s="115"/>
      <c r="O149" s="54">
        <f t="shared" si="70"/>
        <v>0</v>
      </c>
      <c r="P149" s="54">
        <f t="shared" si="73"/>
        <v>0</v>
      </c>
    </row>
    <row r="150" spans="2:16">
      <c r="B150" s="7" t="str">
        <f t="shared" si="76"/>
        <v/>
      </c>
      <c r="C150" s="50">
        <f>IF(D93="","-",+C149+1)</f>
        <v>2061</v>
      </c>
      <c r="D150" s="12">
        <f>IF(F149+SUM(E$101:E149)=D$92,F149,D$92-SUM(E$101:E149))</f>
        <v>0</v>
      </c>
      <c r="E150" s="355">
        <f t="shared" si="71"/>
        <v>0</v>
      </c>
      <c r="F150" s="55">
        <f t="shared" si="77"/>
        <v>0</v>
      </c>
      <c r="G150" s="55">
        <f t="shared" si="74"/>
        <v>0</v>
      </c>
      <c r="H150" s="355">
        <f t="shared" si="67"/>
        <v>0</v>
      </c>
      <c r="I150" s="381">
        <f t="shared" si="68"/>
        <v>0</v>
      </c>
      <c r="J150" s="54">
        <f t="shared" si="75"/>
        <v>0</v>
      </c>
      <c r="K150" s="54"/>
      <c r="L150" s="115"/>
      <c r="M150" s="54">
        <f t="shared" si="72"/>
        <v>0</v>
      </c>
      <c r="N150" s="115"/>
      <c r="O150" s="54">
        <f t="shared" si="70"/>
        <v>0</v>
      </c>
      <c r="P150" s="54">
        <f t="shared" si="73"/>
        <v>0</v>
      </c>
    </row>
    <row r="151" spans="2:16">
      <c r="B151" s="7" t="str">
        <f t="shared" si="76"/>
        <v/>
      </c>
      <c r="C151" s="50">
        <f>IF(D93="","-",+C150+1)</f>
        <v>2062</v>
      </c>
      <c r="D151" s="12">
        <f>IF(F150+SUM(E$101:E150)=D$92,F150,D$92-SUM(E$101:E150))</f>
        <v>0</v>
      </c>
      <c r="E151" s="355">
        <f t="shared" si="71"/>
        <v>0</v>
      </c>
      <c r="F151" s="55">
        <f t="shared" si="77"/>
        <v>0</v>
      </c>
      <c r="G151" s="55">
        <f t="shared" si="74"/>
        <v>0</v>
      </c>
      <c r="H151" s="355">
        <f t="shared" si="67"/>
        <v>0</v>
      </c>
      <c r="I151" s="381">
        <f t="shared" si="68"/>
        <v>0</v>
      </c>
      <c r="J151" s="54">
        <f t="shared" si="75"/>
        <v>0</v>
      </c>
      <c r="K151" s="54"/>
      <c r="L151" s="115"/>
      <c r="M151" s="54">
        <f t="shared" si="72"/>
        <v>0</v>
      </c>
      <c r="N151" s="115"/>
      <c r="O151" s="54">
        <f t="shared" si="70"/>
        <v>0</v>
      </c>
      <c r="P151" s="54">
        <f t="shared" si="73"/>
        <v>0</v>
      </c>
    </row>
    <row r="152" spans="2:16">
      <c r="B152" s="7" t="str">
        <f t="shared" si="76"/>
        <v/>
      </c>
      <c r="C152" s="50">
        <f>IF(D93="","-",+C151+1)</f>
        <v>2063</v>
      </c>
      <c r="D152" s="12">
        <f>IF(F151+SUM(E$101:E151)=D$92,F151,D$92-SUM(E$101:E151))</f>
        <v>0</v>
      </c>
      <c r="E152" s="355">
        <f t="shared" si="71"/>
        <v>0</v>
      </c>
      <c r="F152" s="55">
        <f t="shared" si="77"/>
        <v>0</v>
      </c>
      <c r="G152" s="55">
        <f t="shared" si="74"/>
        <v>0</v>
      </c>
      <c r="H152" s="355">
        <f t="shared" si="67"/>
        <v>0</v>
      </c>
      <c r="I152" s="381">
        <f t="shared" si="68"/>
        <v>0</v>
      </c>
      <c r="J152" s="54">
        <f t="shared" si="75"/>
        <v>0</v>
      </c>
      <c r="K152" s="54"/>
      <c r="L152" s="115"/>
      <c r="M152" s="54">
        <f t="shared" si="72"/>
        <v>0</v>
      </c>
      <c r="N152" s="115"/>
      <c r="O152" s="54">
        <f t="shared" si="70"/>
        <v>0</v>
      </c>
      <c r="P152" s="54">
        <f t="shared" si="73"/>
        <v>0</v>
      </c>
    </row>
    <row r="153" spans="2:16">
      <c r="B153" s="7" t="str">
        <f t="shared" si="76"/>
        <v/>
      </c>
      <c r="C153" s="50">
        <f>IF(D93="","-",+C152+1)</f>
        <v>2064</v>
      </c>
      <c r="D153" s="12">
        <f>IF(F152+SUM(E$101:E152)=D$92,F152,D$92-SUM(E$101:E152))</f>
        <v>0</v>
      </c>
      <c r="E153" s="355">
        <f t="shared" si="71"/>
        <v>0</v>
      </c>
      <c r="F153" s="55">
        <f t="shared" si="77"/>
        <v>0</v>
      </c>
      <c r="G153" s="55">
        <f t="shared" si="74"/>
        <v>0</v>
      </c>
      <c r="H153" s="355">
        <f t="shared" si="67"/>
        <v>0</v>
      </c>
      <c r="I153" s="381">
        <f t="shared" si="68"/>
        <v>0</v>
      </c>
      <c r="J153" s="54">
        <f t="shared" si="75"/>
        <v>0</v>
      </c>
      <c r="K153" s="54"/>
      <c r="L153" s="115"/>
      <c r="M153" s="54">
        <f t="shared" si="72"/>
        <v>0</v>
      </c>
      <c r="N153" s="115"/>
      <c r="O153" s="54">
        <f t="shared" si="70"/>
        <v>0</v>
      </c>
      <c r="P153" s="54">
        <f t="shared" si="73"/>
        <v>0</v>
      </c>
    </row>
    <row r="154" spans="2:16" ht="13.5" thickBot="1">
      <c r="B154" s="7" t="str">
        <f t="shared" si="76"/>
        <v/>
      </c>
      <c r="C154" s="58">
        <f>IF(D93="","-",+C153+1)</f>
        <v>2065</v>
      </c>
      <c r="D154" s="82">
        <f>IF(F153+SUM(E$101:E153)=D$92,F153,D$92-SUM(E$101:E153))</f>
        <v>0</v>
      </c>
      <c r="E154" s="382">
        <f t="shared" si="71"/>
        <v>0</v>
      </c>
      <c r="F154" s="59">
        <f t="shared" si="77"/>
        <v>0</v>
      </c>
      <c r="G154" s="59">
        <f t="shared" si="74"/>
        <v>0</v>
      </c>
      <c r="H154" s="358">
        <f t="shared" ref="H154" si="78">+J$94*G154+E154</f>
        <v>0</v>
      </c>
      <c r="I154" s="383">
        <f t="shared" ref="I154" si="79">+J$95*G154+E154</f>
        <v>0</v>
      </c>
      <c r="J154" s="62">
        <f t="shared" si="75"/>
        <v>0</v>
      </c>
      <c r="K154" s="54"/>
      <c r="L154" s="116"/>
      <c r="M154" s="62">
        <f t="shared" si="72"/>
        <v>0</v>
      </c>
      <c r="N154" s="116"/>
      <c r="O154" s="54">
        <f t="shared" si="70"/>
        <v>0</v>
      </c>
      <c r="P154" s="62">
        <f t="shared" si="73"/>
        <v>0</v>
      </c>
    </row>
    <row r="155" spans="2:16">
      <c r="C155" s="12" t="s">
        <v>77</v>
      </c>
      <c r="D155" s="266"/>
      <c r="E155" s="266">
        <f>SUM(E101:E154)</f>
        <v>22097</v>
      </c>
      <c r="F155" s="266"/>
      <c r="G155" s="266"/>
      <c r="H155" s="266">
        <f>SUM(H101:H154)</f>
        <v>78252.513919348567</v>
      </c>
      <c r="I155" s="266">
        <f>SUM(I101:I154)</f>
        <v>78252.513919348567</v>
      </c>
      <c r="J155" s="266">
        <f>SUM(J101:J154)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49" priority="3" stopIfTrue="1" operator="equal">
      <formula>$I$10</formula>
    </cfRule>
  </conditionalFormatting>
  <conditionalFormatting sqref="C100:C154">
    <cfRule type="cellIs" dxfId="48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9"/>
  <dimension ref="A1:P162"/>
  <sheetViews>
    <sheetView topLeftCell="A80" zoomScaleNormal="100" zoomScaleSheetLayoutView="75" workbookViewId="0">
      <selection activeCell="D101" sqref="D101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14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101489.36842105263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101489.36842105263</v>
      </c>
      <c r="O6" s="1"/>
      <c r="P6" s="1"/>
    </row>
    <row r="7" spans="1:16" ht="13.5" thickBot="1">
      <c r="C7" s="26" t="s">
        <v>46</v>
      </c>
      <c r="D7" s="88" t="s">
        <v>239</v>
      </c>
      <c r="E7" s="426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238</v>
      </c>
      <c r="E9" s="404" t="s">
        <v>288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1035552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2013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2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27251.36842105263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6" t="s">
        <v>105</v>
      </c>
      <c r="O16" s="345" t="s">
        <v>105</v>
      </c>
      <c r="P16" s="1"/>
    </row>
    <row r="17" spans="2:16">
      <c r="B17" s="7"/>
      <c r="C17" s="50">
        <f>IF(D11= "","-",D11)</f>
        <v>2013</v>
      </c>
      <c r="D17" s="408">
        <v>5562500</v>
      </c>
      <c r="E17" s="427">
        <v>89142.628205128203</v>
      </c>
      <c r="F17" s="408">
        <v>5473357.371794872</v>
      </c>
      <c r="G17" s="427">
        <v>870775.06277038739</v>
      </c>
      <c r="H17" s="428">
        <v>870775.06277038739</v>
      </c>
      <c r="I17" s="52">
        <v>0</v>
      </c>
      <c r="J17" s="63"/>
      <c r="K17" s="117">
        <f t="shared" ref="K17:K22" si="0">G17</f>
        <v>870775.06277038739</v>
      </c>
      <c r="L17" s="63">
        <f t="shared" ref="L17:L22" si="1">IF(K17&lt;&gt;0,+G17-K17,0)</f>
        <v>0</v>
      </c>
      <c r="M17" s="117">
        <f t="shared" ref="M17:M22" si="2">H17</f>
        <v>870775.06277038739</v>
      </c>
      <c r="N17" s="53">
        <f t="shared" ref="N17:N22" si="3">IF(M17&lt;&gt;0,+H17-M17,0)</f>
        <v>0</v>
      </c>
      <c r="O17" s="52">
        <f t="shared" ref="O17:O22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2014</v>
      </c>
      <c r="D18" s="413">
        <v>5473357</v>
      </c>
      <c r="E18" s="412">
        <v>19910</v>
      </c>
      <c r="F18" s="413">
        <v>5453447</v>
      </c>
      <c r="G18" s="412">
        <v>770625</v>
      </c>
      <c r="H18" s="414">
        <v>770625</v>
      </c>
      <c r="I18" s="52">
        <f>H18-G18</f>
        <v>0</v>
      </c>
      <c r="J18" s="63"/>
      <c r="K18" s="350">
        <f t="shared" si="0"/>
        <v>770625</v>
      </c>
      <c r="L18" s="63">
        <f t="shared" si="1"/>
        <v>0</v>
      </c>
      <c r="M18" s="350">
        <f t="shared" si="2"/>
        <v>770625</v>
      </c>
      <c r="N18" s="54">
        <f t="shared" si="3"/>
        <v>0</v>
      </c>
      <c r="O18" s="52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2015</v>
      </c>
      <c r="D19" s="413">
        <v>5453447</v>
      </c>
      <c r="E19" s="412">
        <v>27251.36842105263</v>
      </c>
      <c r="F19" s="413">
        <v>5433533</v>
      </c>
      <c r="G19" s="412">
        <v>769045</v>
      </c>
      <c r="H19" s="414">
        <v>769045</v>
      </c>
      <c r="I19" s="52">
        <f t="shared" ref="I19:I72" si="5">H19-G19</f>
        <v>0</v>
      </c>
      <c r="J19" s="63"/>
      <c r="K19" s="350">
        <f t="shared" si="0"/>
        <v>769045</v>
      </c>
      <c r="L19" s="63">
        <f t="shared" si="1"/>
        <v>0</v>
      </c>
      <c r="M19" s="350">
        <f t="shared" si="2"/>
        <v>769045</v>
      </c>
      <c r="N19" s="54">
        <f t="shared" si="3"/>
        <v>0</v>
      </c>
      <c r="O19" s="52">
        <f t="shared" si="4"/>
        <v>0</v>
      </c>
      <c r="P19" s="1"/>
    </row>
    <row r="20" spans="2:16">
      <c r="B20" s="7" t="str">
        <f t="shared" ref="B20:B72" si="6">IF(D20=F19,"","IU")</f>
        <v>IU</v>
      </c>
      <c r="C20" s="50">
        <f>IF(D11="","-",+C19+1)</f>
        <v>2016</v>
      </c>
      <c r="D20" s="413">
        <v>906584.91025641025</v>
      </c>
      <c r="E20" s="412">
        <v>19914.461538461539</v>
      </c>
      <c r="F20" s="413">
        <v>886670.44871794875</v>
      </c>
      <c r="G20" s="412">
        <v>136209.46153846153</v>
      </c>
      <c r="H20" s="414">
        <v>136209.46153846153</v>
      </c>
      <c r="I20" s="52">
        <f t="shared" si="5"/>
        <v>0</v>
      </c>
      <c r="J20" s="63"/>
      <c r="K20" s="350">
        <f t="shared" si="0"/>
        <v>136209.46153846153</v>
      </c>
      <c r="L20" s="63">
        <f t="shared" si="1"/>
        <v>0</v>
      </c>
      <c r="M20" s="350">
        <f t="shared" si="2"/>
        <v>136209.46153846153</v>
      </c>
      <c r="N20" s="54">
        <f t="shared" si="3"/>
        <v>0</v>
      </c>
      <c r="O20" s="52">
        <f t="shared" si="4"/>
        <v>0</v>
      </c>
      <c r="P20" s="1"/>
    </row>
    <row r="21" spans="2:16">
      <c r="B21" s="7" t="str">
        <f t="shared" si="6"/>
        <v>IU</v>
      </c>
      <c r="C21" s="50">
        <f>IF(D11="","-",+C20+1)</f>
        <v>2017</v>
      </c>
      <c r="D21" s="413">
        <v>884072.91025641025</v>
      </c>
      <c r="E21" s="412">
        <v>22512</v>
      </c>
      <c r="F21" s="413">
        <v>861560.91025641025</v>
      </c>
      <c r="G21" s="412">
        <v>132155</v>
      </c>
      <c r="H21" s="414">
        <v>132155</v>
      </c>
      <c r="I21" s="52">
        <f t="shared" si="5"/>
        <v>0</v>
      </c>
      <c r="J21" s="63"/>
      <c r="K21" s="350">
        <f t="shared" si="0"/>
        <v>132155</v>
      </c>
      <c r="L21" s="63">
        <f t="shared" si="1"/>
        <v>0</v>
      </c>
      <c r="M21" s="350">
        <f t="shared" si="2"/>
        <v>132155</v>
      </c>
      <c r="N21" s="54">
        <f t="shared" si="3"/>
        <v>0</v>
      </c>
      <c r="O21" s="52">
        <f t="shared" si="4"/>
        <v>0</v>
      </c>
      <c r="P21" s="1"/>
    </row>
    <row r="22" spans="2:16">
      <c r="B22" s="7" t="str">
        <f t="shared" si="6"/>
        <v>IU</v>
      </c>
      <c r="C22" s="50">
        <f>IF(D11="","-",+C21+1)</f>
        <v>2018</v>
      </c>
      <c r="D22" s="413">
        <v>861060.64358974365</v>
      </c>
      <c r="E22" s="412">
        <v>23012.266666666666</v>
      </c>
      <c r="F22" s="413">
        <v>838048.37692307692</v>
      </c>
      <c r="G22" s="412">
        <v>124754.01488848326</v>
      </c>
      <c r="H22" s="414">
        <v>124754.01488848326</v>
      </c>
      <c r="I22" s="52">
        <f t="shared" si="5"/>
        <v>0</v>
      </c>
      <c r="J22" s="63"/>
      <c r="K22" s="350">
        <f t="shared" si="0"/>
        <v>124754.01488848326</v>
      </c>
      <c r="L22" s="63">
        <f t="shared" si="1"/>
        <v>0</v>
      </c>
      <c r="M22" s="350">
        <f t="shared" si="2"/>
        <v>124754.01488848326</v>
      </c>
      <c r="N22" s="54">
        <f t="shared" si="3"/>
        <v>0</v>
      </c>
      <c r="O22" s="52">
        <f t="shared" si="4"/>
        <v>0</v>
      </c>
      <c r="P22" s="1"/>
    </row>
    <row r="23" spans="2:16">
      <c r="B23" s="7" t="str">
        <f t="shared" si="6"/>
        <v>IU</v>
      </c>
      <c r="C23" s="50">
        <f>IF(D11="","-",+C22+1)</f>
        <v>2019</v>
      </c>
      <c r="D23" s="413">
        <v>835171.8435897436</v>
      </c>
      <c r="E23" s="412">
        <v>25888.799999999999</v>
      </c>
      <c r="F23" s="413">
        <v>809283.04358974355</v>
      </c>
      <c r="G23" s="412">
        <v>117695.9465116283</v>
      </c>
      <c r="H23" s="414">
        <v>117695.9465116283</v>
      </c>
      <c r="I23" s="52">
        <f t="shared" si="5"/>
        <v>0</v>
      </c>
      <c r="J23" s="52"/>
      <c r="K23" s="350">
        <f t="shared" ref="K23" si="7">G23</f>
        <v>117695.9465116283</v>
      </c>
      <c r="L23" s="63">
        <f t="shared" ref="L23" si="8">IF(K23&lt;&gt;0,+G23-K23,0)</f>
        <v>0</v>
      </c>
      <c r="M23" s="350">
        <f t="shared" ref="M23" si="9">H23</f>
        <v>117695.9465116283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>
      <c r="B24" s="7" t="str">
        <f t="shared" si="6"/>
        <v>IU</v>
      </c>
      <c r="C24" s="50">
        <f>IF(D11="","-",+C23+1)</f>
        <v>2020</v>
      </c>
      <c r="D24" s="413">
        <v>815036.1102564102</v>
      </c>
      <c r="E24" s="412">
        <v>24656</v>
      </c>
      <c r="F24" s="413">
        <v>790380.1102564102</v>
      </c>
      <c r="G24" s="412">
        <v>111352.31037205369</v>
      </c>
      <c r="H24" s="414">
        <v>111352.31037205369</v>
      </c>
      <c r="I24" s="52">
        <f t="shared" si="5"/>
        <v>0</v>
      </c>
      <c r="J24" s="52"/>
      <c r="K24" s="350">
        <f t="shared" ref="K24" si="12">G24</f>
        <v>111352.31037205369</v>
      </c>
      <c r="L24" s="63">
        <f t="shared" ref="L24" si="13">IF(K24&lt;&gt;0,+G24-K24,0)</f>
        <v>0</v>
      </c>
      <c r="M24" s="350">
        <f t="shared" ref="M24" si="14">H24</f>
        <v>111352.31037205369</v>
      </c>
      <c r="N24" s="54">
        <f t="shared" si="10"/>
        <v>0</v>
      </c>
      <c r="O24" s="54">
        <f t="shared" si="11"/>
        <v>0</v>
      </c>
      <c r="P24" s="1"/>
    </row>
    <row r="25" spans="2:16">
      <c r="B25" s="7" t="str">
        <f t="shared" si="6"/>
        <v>IU</v>
      </c>
      <c r="C25" s="50">
        <f>IF(D11="","-",+C24+1)</f>
        <v>2021</v>
      </c>
      <c r="D25" s="413">
        <v>786433.23893858085</v>
      </c>
      <c r="E25" s="412">
        <v>24082.60465116279</v>
      </c>
      <c r="F25" s="413">
        <v>762350.6342874181</v>
      </c>
      <c r="G25" s="412">
        <v>106280.60465116279</v>
      </c>
      <c r="H25" s="414">
        <v>106280.60465116279</v>
      </c>
      <c r="I25" s="52">
        <f t="shared" si="5"/>
        <v>0</v>
      </c>
      <c r="J25" s="52"/>
      <c r="K25" s="350">
        <f t="shared" ref="K25" si="15">G25</f>
        <v>106280.60465116279</v>
      </c>
      <c r="L25" s="63">
        <f t="shared" ref="L25" si="16">IF(K25&lt;&gt;0,+G25-K25,0)</f>
        <v>0</v>
      </c>
      <c r="M25" s="350">
        <f t="shared" ref="M25" si="17">H25</f>
        <v>106280.60465116279</v>
      </c>
      <c r="N25" s="54">
        <f t="shared" si="10"/>
        <v>0</v>
      </c>
      <c r="O25" s="54">
        <f t="shared" si="11"/>
        <v>0</v>
      </c>
      <c r="P25" s="1"/>
    </row>
    <row r="26" spans="2:16">
      <c r="B26" s="7" t="str">
        <f t="shared" si="6"/>
        <v>IU</v>
      </c>
      <c r="C26" s="50">
        <f>IF(D11="","-",+C25+1)</f>
        <v>2022</v>
      </c>
      <c r="D26" s="413">
        <v>761777.23893858085</v>
      </c>
      <c r="E26" s="412">
        <v>24656</v>
      </c>
      <c r="F26" s="413">
        <v>737121.23893858085</v>
      </c>
      <c r="G26" s="412">
        <v>104126</v>
      </c>
      <c r="H26" s="414">
        <v>104126</v>
      </c>
      <c r="I26" s="52">
        <f t="shared" si="5"/>
        <v>0</v>
      </c>
      <c r="J26" s="52"/>
      <c r="K26" s="350">
        <f t="shared" ref="K26" si="18">G26</f>
        <v>104126</v>
      </c>
      <c r="L26" s="63">
        <f t="shared" ref="L26" si="19">IF(K26&lt;&gt;0,+G26-K26,0)</f>
        <v>0</v>
      </c>
      <c r="M26" s="350">
        <f t="shared" ref="M26" si="20">H26</f>
        <v>104126</v>
      </c>
      <c r="N26" s="54">
        <f t="shared" si="10"/>
        <v>0</v>
      </c>
      <c r="O26" s="54">
        <f t="shared" si="11"/>
        <v>0</v>
      </c>
      <c r="P26" s="1"/>
    </row>
    <row r="27" spans="2:16">
      <c r="B27" s="7" t="str">
        <f t="shared" si="6"/>
        <v>IU</v>
      </c>
      <c r="C27" s="50">
        <f>IF(D11="","-",+C26+1)</f>
        <v>2023</v>
      </c>
      <c r="D27" s="413">
        <v>735224.62355396547</v>
      </c>
      <c r="E27" s="412">
        <v>26552.615384615383</v>
      </c>
      <c r="F27" s="413">
        <v>708672.0081693501</v>
      </c>
      <c r="G27" s="412">
        <v>111138.61538461538</v>
      </c>
      <c r="H27" s="414">
        <v>111138.61538461538</v>
      </c>
      <c r="I27" s="52">
        <f t="shared" si="5"/>
        <v>0</v>
      </c>
      <c r="J27" s="52"/>
      <c r="K27" s="350">
        <f t="shared" ref="K27" si="21">G27</f>
        <v>111138.61538461538</v>
      </c>
      <c r="L27" s="63">
        <f t="shared" ref="L27" si="22">IF(K27&lt;&gt;0,+G27-K27,0)</f>
        <v>0</v>
      </c>
      <c r="M27" s="350">
        <f t="shared" ref="M27" si="23">H27</f>
        <v>111138.61538461538</v>
      </c>
      <c r="N27" s="54">
        <f t="shared" si="10"/>
        <v>0</v>
      </c>
      <c r="O27" s="54">
        <f t="shared" si="11"/>
        <v>0</v>
      </c>
      <c r="P27" s="1"/>
    </row>
    <row r="28" spans="2:16">
      <c r="B28" s="7" t="str">
        <f t="shared" si="6"/>
        <v>IU</v>
      </c>
      <c r="C28" s="50">
        <f>IF(D11="","-",+C27+1)</f>
        <v>2024</v>
      </c>
      <c r="D28" s="413">
        <v>707973.25513291289</v>
      </c>
      <c r="E28" s="412">
        <v>27251.36842105263</v>
      </c>
      <c r="F28" s="413">
        <v>680721.88671186031</v>
      </c>
      <c r="G28" s="412">
        <v>104676.36842105263</v>
      </c>
      <c r="H28" s="414">
        <v>104676.36842105263</v>
      </c>
      <c r="I28" s="52">
        <f t="shared" si="5"/>
        <v>0</v>
      </c>
      <c r="J28" s="52"/>
      <c r="K28" s="350">
        <f t="shared" ref="K28" si="24">G28</f>
        <v>104676.36842105263</v>
      </c>
      <c r="L28" s="63">
        <f t="shared" ref="L28" si="25">IF(K28&lt;&gt;0,+G28-K28,0)</f>
        <v>0</v>
      </c>
      <c r="M28" s="350">
        <f t="shared" ref="M28" si="26">H28</f>
        <v>104676.36842105263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6"/>
        <v/>
      </c>
      <c r="C29" s="50">
        <f>IF(D11="","-",+C28+1)</f>
        <v>2025</v>
      </c>
      <c r="D29" s="413">
        <v>680721.88671186031</v>
      </c>
      <c r="E29" s="412">
        <v>27251.36842105263</v>
      </c>
      <c r="F29" s="413">
        <v>653470.51829080773</v>
      </c>
      <c r="G29" s="412">
        <v>101489.36842105263</v>
      </c>
      <c r="H29" s="414">
        <v>101489.36842105263</v>
      </c>
      <c r="I29" s="52">
        <f t="shared" si="5"/>
        <v>0</v>
      </c>
      <c r="J29" s="52"/>
      <c r="K29" s="350">
        <f t="shared" ref="K29" si="29">G29</f>
        <v>101489.36842105263</v>
      </c>
      <c r="L29" s="63">
        <f t="shared" ref="L29" si="30">IF(K29&lt;&gt;0,+G29-K29,0)</f>
        <v>0</v>
      </c>
      <c r="M29" s="350">
        <f t="shared" ref="M29" si="31">H29</f>
        <v>101489.36842105263</v>
      </c>
      <c r="N29" s="54">
        <f t="shared" ref="N29" si="32">IF(M29&lt;&gt;0,+H29-M29,0)</f>
        <v>0</v>
      </c>
      <c r="O29" s="54">
        <f t="shared" ref="O29" si="33">+N29-L29</f>
        <v>0</v>
      </c>
      <c r="P29" s="1"/>
    </row>
    <row r="30" spans="2:16">
      <c r="B30" s="7" t="str">
        <f t="shared" si="6"/>
        <v/>
      </c>
      <c r="C30" s="50">
        <f>IF(D11="","-",+C29+1)</f>
        <v>2026</v>
      </c>
      <c r="D30" s="55">
        <f>IF(F29+SUM(E$17:E29)=D$10,F29,D$10-SUM(E$17:E29))</f>
        <v>653470.51829080773</v>
      </c>
      <c r="E30" s="354">
        <f t="shared" ref="E30:E72" si="34">IF(+$I$14&lt;F29,$I$14,D30)</f>
        <v>27251.36842105263</v>
      </c>
      <c r="F30" s="55">
        <f t="shared" ref="F30:F72" si="35">+D30-E30</f>
        <v>626219.14986975514</v>
      </c>
      <c r="G30" s="355">
        <f t="shared" ref="G30:G72" si="36">(D30+F30)/2*I$12+E30</f>
        <v>99941.896845523632</v>
      </c>
      <c r="H30" s="336">
        <f t="shared" ref="H30:H72" si="37">+(D30+F30)/2*I$13+E30</f>
        <v>99941.896845523632</v>
      </c>
      <c r="I30" s="52">
        <f t="shared" si="5"/>
        <v>0</v>
      </c>
      <c r="J30" s="52"/>
      <c r="K30" s="115"/>
      <c r="L30" s="54">
        <f t="shared" ref="L30:L72" si="38">IF(K30&lt;&gt;0,+G30-K30,0)</f>
        <v>0</v>
      </c>
      <c r="M30" s="115"/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6"/>
        <v/>
      </c>
      <c r="C31" s="50">
        <f>IF(D11="","-",+C30+1)</f>
        <v>2027</v>
      </c>
      <c r="D31" s="55">
        <f>IF(F30+SUM(E$17:E30)=D$10,F30,D$10-SUM(E$17:E30))</f>
        <v>626219.14986975514</v>
      </c>
      <c r="E31" s="354">
        <f t="shared" si="34"/>
        <v>27251.36842105263</v>
      </c>
      <c r="F31" s="55">
        <f t="shared" si="35"/>
        <v>598967.78144870256</v>
      </c>
      <c r="G31" s="355">
        <f t="shared" si="36"/>
        <v>96845.964417369178</v>
      </c>
      <c r="H31" s="336">
        <f t="shared" si="37"/>
        <v>96845.964417369178</v>
      </c>
      <c r="I31" s="52">
        <f t="shared" si="5"/>
        <v>0</v>
      </c>
      <c r="J31" s="52"/>
      <c r="K31" s="115"/>
      <c r="L31" s="54">
        <f t="shared" si="38"/>
        <v>0</v>
      </c>
      <c r="M31" s="115"/>
      <c r="N31" s="54">
        <f t="shared" si="10"/>
        <v>0</v>
      </c>
      <c r="O31" s="54">
        <f t="shared" si="11"/>
        <v>0</v>
      </c>
      <c r="P31" s="1"/>
    </row>
    <row r="32" spans="2:16">
      <c r="B32" s="7" t="str">
        <f t="shared" si="6"/>
        <v/>
      </c>
      <c r="C32" s="50">
        <f>IF(D11="","-",+C31+1)</f>
        <v>2028</v>
      </c>
      <c r="D32" s="55">
        <f>IF(F31+SUM(E$17:E31)=D$10,F31,D$10-SUM(E$17:E31))</f>
        <v>598967.78144870256</v>
      </c>
      <c r="E32" s="354">
        <f t="shared" si="34"/>
        <v>27251.36842105263</v>
      </c>
      <c r="F32" s="55">
        <f t="shared" si="35"/>
        <v>571716.41302764998</v>
      </c>
      <c r="G32" s="355">
        <f t="shared" si="36"/>
        <v>93750.031989214709</v>
      </c>
      <c r="H32" s="336">
        <f t="shared" si="37"/>
        <v>93750.031989214709</v>
      </c>
      <c r="I32" s="52">
        <f t="shared" si="5"/>
        <v>0</v>
      </c>
      <c r="J32" s="52"/>
      <c r="K32" s="115"/>
      <c r="L32" s="54">
        <f t="shared" si="38"/>
        <v>0</v>
      </c>
      <c r="M32" s="115"/>
      <c r="N32" s="54">
        <f t="shared" si="10"/>
        <v>0</v>
      </c>
      <c r="O32" s="54">
        <f t="shared" si="11"/>
        <v>0</v>
      </c>
      <c r="P32" s="1"/>
    </row>
    <row r="33" spans="2:16">
      <c r="B33" s="7" t="str">
        <f t="shared" si="6"/>
        <v/>
      </c>
      <c r="C33" s="50">
        <f>IF(D11="","-",+C32+1)</f>
        <v>2029</v>
      </c>
      <c r="D33" s="55">
        <f>IF(F32+SUM(E$17:E32)=D$10,F32,D$10-SUM(E$17:E32))</f>
        <v>571716.41302764998</v>
      </c>
      <c r="E33" s="354">
        <f t="shared" si="34"/>
        <v>27251.36842105263</v>
      </c>
      <c r="F33" s="55">
        <f t="shared" si="35"/>
        <v>544465.0446065974</v>
      </c>
      <c r="G33" s="355">
        <f t="shared" si="36"/>
        <v>90654.099561060255</v>
      </c>
      <c r="H33" s="336">
        <f t="shared" si="37"/>
        <v>90654.099561060255</v>
      </c>
      <c r="I33" s="52">
        <f t="shared" si="5"/>
        <v>0</v>
      </c>
      <c r="J33" s="52"/>
      <c r="K33" s="115"/>
      <c r="L33" s="54">
        <f t="shared" si="38"/>
        <v>0</v>
      </c>
      <c r="M33" s="115"/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6"/>
        <v/>
      </c>
      <c r="C34" s="50">
        <f>IF(D11="","-",+C33+1)</f>
        <v>2030</v>
      </c>
      <c r="D34" s="55">
        <f>IF(F33+SUM(E$17:E33)=D$10,F33,D$10-SUM(E$17:E33))</f>
        <v>544465.0446065974</v>
      </c>
      <c r="E34" s="354">
        <f t="shared" si="34"/>
        <v>27251.36842105263</v>
      </c>
      <c r="F34" s="55">
        <f t="shared" si="35"/>
        <v>517213.67618554475</v>
      </c>
      <c r="G34" s="355">
        <f t="shared" si="36"/>
        <v>87558.167132905786</v>
      </c>
      <c r="H34" s="336">
        <f t="shared" si="37"/>
        <v>87558.167132905786</v>
      </c>
      <c r="I34" s="52">
        <f t="shared" si="5"/>
        <v>0</v>
      </c>
      <c r="J34" s="52"/>
      <c r="K34" s="115"/>
      <c r="L34" s="54">
        <f t="shared" si="38"/>
        <v>0</v>
      </c>
      <c r="M34" s="115"/>
      <c r="N34" s="54">
        <f t="shared" si="10"/>
        <v>0</v>
      </c>
      <c r="O34" s="54">
        <f t="shared" si="11"/>
        <v>0</v>
      </c>
      <c r="P34" s="1"/>
    </row>
    <row r="35" spans="2:16">
      <c r="B35" s="7" t="str">
        <f t="shared" si="6"/>
        <v/>
      </c>
      <c r="C35" s="50">
        <f>IF(D11="","-",+C34+1)</f>
        <v>2031</v>
      </c>
      <c r="D35" s="55">
        <f>IF(F34+SUM(E$17:E34)=D$10,F34,D$10-SUM(E$17:E34))</f>
        <v>517213.67618554475</v>
      </c>
      <c r="E35" s="354">
        <f t="shared" si="34"/>
        <v>27251.36842105263</v>
      </c>
      <c r="F35" s="55">
        <f t="shared" si="35"/>
        <v>489962.30776449211</v>
      </c>
      <c r="G35" s="355">
        <f t="shared" si="36"/>
        <v>84462.234704751318</v>
      </c>
      <c r="H35" s="336">
        <f t="shared" si="37"/>
        <v>84462.234704751318</v>
      </c>
      <c r="I35" s="52">
        <f t="shared" si="5"/>
        <v>0</v>
      </c>
      <c r="J35" s="52"/>
      <c r="K35" s="115"/>
      <c r="L35" s="54">
        <f t="shared" si="38"/>
        <v>0</v>
      </c>
      <c r="M35" s="115"/>
      <c r="N35" s="54">
        <f t="shared" si="10"/>
        <v>0</v>
      </c>
      <c r="O35" s="54">
        <f t="shared" si="11"/>
        <v>0</v>
      </c>
      <c r="P35" s="1"/>
    </row>
    <row r="36" spans="2:16">
      <c r="B36" s="7" t="str">
        <f t="shared" si="6"/>
        <v/>
      </c>
      <c r="C36" s="50">
        <f>IF(D11="","-",+C35+1)</f>
        <v>2032</v>
      </c>
      <c r="D36" s="55">
        <f>IF(F35+SUM(E$17:E35)=D$10,F35,D$10-SUM(E$17:E35))</f>
        <v>489962.30776449211</v>
      </c>
      <c r="E36" s="354">
        <f t="shared" si="34"/>
        <v>27251.36842105263</v>
      </c>
      <c r="F36" s="55">
        <f t="shared" si="35"/>
        <v>462710.93934343947</v>
      </c>
      <c r="G36" s="355">
        <f t="shared" si="36"/>
        <v>81366.302276596849</v>
      </c>
      <c r="H36" s="336">
        <f t="shared" si="37"/>
        <v>81366.302276596849</v>
      </c>
      <c r="I36" s="52">
        <f t="shared" si="5"/>
        <v>0</v>
      </c>
      <c r="J36" s="52"/>
      <c r="K36" s="115"/>
      <c r="L36" s="54">
        <f t="shared" si="38"/>
        <v>0</v>
      </c>
      <c r="M36" s="115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6"/>
        <v/>
      </c>
      <c r="C37" s="50">
        <f>IF(D11="","-",+C36+1)</f>
        <v>2033</v>
      </c>
      <c r="D37" s="55">
        <f>IF(F36+SUM(E$17:E36)=D$10,F36,D$10-SUM(E$17:E36))</f>
        <v>462710.93934343947</v>
      </c>
      <c r="E37" s="354">
        <f t="shared" si="34"/>
        <v>27251.36842105263</v>
      </c>
      <c r="F37" s="55">
        <f t="shared" si="35"/>
        <v>435459.57092238683</v>
      </c>
      <c r="G37" s="355">
        <f t="shared" si="36"/>
        <v>78270.36984844238</v>
      </c>
      <c r="H37" s="336">
        <f t="shared" si="37"/>
        <v>78270.36984844238</v>
      </c>
      <c r="I37" s="52">
        <f t="shared" si="5"/>
        <v>0</v>
      </c>
      <c r="J37" s="52"/>
      <c r="K37" s="115"/>
      <c r="L37" s="54">
        <f t="shared" si="38"/>
        <v>0</v>
      </c>
      <c r="M37" s="115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6"/>
        <v/>
      </c>
      <c r="C38" s="50">
        <f>IF(D11="","-",+C37+1)</f>
        <v>2034</v>
      </c>
      <c r="D38" s="55">
        <f>IF(F37+SUM(E$17:E37)=D$10,F37,D$10-SUM(E$17:E37))</f>
        <v>435459.57092238683</v>
      </c>
      <c r="E38" s="354">
        <f t="shared" si="34"/>
        <v>27251.36842105263</v>
      </c>
      <c r="F38" s="55">
        <f t="shared" si="35"/>
        <v>408208.20250133419</v>
      </c>
      <c r="G38" s="355">
        <f t="shared" si="36"/>
        <v>75174.437420287912</v>
      </c>
      <c r="H38" s="336">
        <f t="shared" si="37"/>
        <v>75174.437420287912</v>
      </c>
      <c r="I38" s="52">
        <f t="shared" si="5"/>
        <v>0</v>
      </c>
      <c r="J38" s="52"/>
      <c r="K38" s="115"/>
      <c r="L38" s="54">
        <f t="shared" si="38"/>
        <v>0</v>
      </c>
      <c r="M38" s="115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6"/>
        <v/>
      </c>
      <c r="C39" s="50">
        <f>IF(D11="","-",+C38+1)</f>
        <v>2035</v>
      </c>
      <c r="D39" s="55">
        <f>IF(F38+SUM(E$17:E38)=D$10,F38,D$10-SUM(E$17:E38))</f>
        <v>408208.20250133419</v>
      </c>
      <c r="E39" s="354">
        <f t="shared" si="34"/>
        <v>27251.36842105263</v>
      </c>
      <c r="F39" s="55">
        <f t="shared" si="35"/>
        <v>380956.83408028155</v>
      </c>
      <c r="G39" s="355">
        <f t="shared" si="36"/>
        <v>72078.504992133443</v>
      </c>
      <c r="H39" s="336">
        <f t="shared" si="37"/>
        <v>72078.504992133443</v>
      </c>
      <c r="I39" s="52">
        <f t="shared" si="5"/>
        <v>0</v>
      </c>
      <c r="J39" s="52"/>
      <c r="K39" s="115"/>
      <c r="L39" s="54">
        <f t="shared" si="38"/>
        <v>0</v>
      </c>
      <c r="M39" s="115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6"/>
        <v/>
      </c>
      <c r="C40" s="50">
        <f>IF(D11="","-",+C39+1)</f>
        <v>2036</v>
      </c>
      <c r="D40" s="55">
        <f>IF(F39+SUM(E$17:E39)=D$10,F39,D$10-SUM(E$17:E39))</f>
        <v>380956.83408028155</v>
      </c>
      <c r="E40" s="354">
        <f t="shared" si="34"/>
        <v>27251.36842105263</v>
      </c>
      <c r="F40" s="55">
        <f t="shared" si="35"/>
        <v>353705.46565922891</v>
      </c>
      <c r="G40" s="355">
        <f t="shared" si="36"/>
        <v>68982.572563978989</v>
      </c>
      <c r="H40" s="336">
        <f t="shared" si="37"/>
        <v>68982.572563978989</v>
      </c>
      <c r="I40" s="52">
        <f t="shared" si="5"/>
        <v>0</v>
      </c>
      <c r="J40" s="52"/>
      <c r="K40" s="115"/>
      <c r="L40" s="54">
        <f t="shared" si="38"/>
        <v>0</v>
      </c>
      <c r="M40" s="115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6"/>
        <v/>
      </c>
      <c r="C41" s="50">
        <f>IF(D11="","-",+C40+1)</f>
        <v>2037</v>
      </c>
      <c r="D41" s="55">
        <f>IF(F40+SUM(E$17:E40)=D$10,F40,D$10-SUM(E$17:E40))</f>
        <v>353705.46565922891</v>
      </c>
      <c r="E41" s="354">
        <f t="shared" si="34"/>
        <v>27251.36842105263</v>
      </c>
      <c r="F41" s="55">
        <f t="shared" si="35"/>
        <v>326454.09723817627</v>
      </c>
      <c r="G41" s="355">
        <f t="shared" si="36"/>
        <v>65886.640135824506</v>
      </c>
      <c r="H41" s="336">
        <f t="shared" si="37"/>
        <v>65886.640135824506</v>
      </c>
      <c r="I41" s="52">
        <f t="shared" si="5"/>
        <v>0</v>
      </c>
      <c r="J41" s="52"/>
      <c r="K41" s="115"/>
      <c r="L41" s="54">
        <f t="shared" si="38"/>
        <v>0</v>
      </c>
      <c r="M41" s="115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6"/>
        <v/>
      </c>
      <c r="C42" s="50">
        <f>IF(D11="","-",+C41+1)</f>
        <v>2038</v>
      </c>
      <c r="D42" s="55">
        <f>IF(F41+SUM(E$17:E41)=D$10,F41,D$10-SUM(E$17:E41))</f>
        <v>326454.09723817627</v>
      </c>
      <c r="E42" s="354">
        <f t="shared" si="34"/>
        <v>27251.36842105263</v>
      </c>
      <c r="F42" s="55">
        <f t="shared" si="35"/>
        <v>299202.72881712363</v>
      </c>
      <c r="G42" s="355">
        <f t="shared" si="36"/>
        <v>62790.707707670052</v>
      </c>
      <c r="H42" s="336">
        <f t="shared" si="37"/>
        <v>62790.707707670052</v>
      </c>
      <c r="I42" s="52">
        <f t="shared" si="5"/>
        <v>0</v>
      </c>
      <c r="J42" s="52"/>
      <c r="K42" s="115"/>
      <c r="L42" s="54">
        <f t="shared" si="38"/>
        <v>0</v>
      </c>
      <c r="M42" s="115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6"/>
        <v/>
      </c>
      <c r="C43" s="50">
        <f>IF(D11="","-",+C42+1)</f>
        <v>2039</v>
      </c>
      <c r="D43" s="55">
        <f>IF(F42+SUM(E$17:E42)=D$10,F42,D$10-SUM(E$17:E42))</f>
        <v>299202.72881712363</v>
      </c>
      <c r="E43" s="354">
        <f t="shared" si="34"/>
        <v>27251.36842105263</v>
      </c>
      <c r="F43" s="55">
        <f t="shared" si="35"/>
        <v>271951.36039607099</v>
      </c>
      <c r="G43" s="355">
        <f t="shared" si="36"/>
        <v>59694.775279515568</v>
      </c>
      <c r="H43" s="336">
        <f t="shared" si="37"/>
        <v>59694.775279515568</v>
      </c>
      <c r="I43" s="52">
        <f t="shared" si="5"/>
        <v>0</v>
      </c>
      <c r="J43" s="52"/>
      <c r="K43" s="115"/>
      <c r="L43" s="54">
        <f t="shared" si="38"/>
        <v>0</v>
      </c>
      <c r="M43" s="115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6"/>
        <v/>
      </c>
      <c r="C44" s="50">
        <f>IF(D11="","-",+C43+1)</f>
        <v>2040</v>
      </c>
      <c r="D44" s="55">
        <f>IF(F43+SUM(E$17:E43)=D$10,F43,D$10-SUM(E$17:E43))</f>
        <v>271951.36039607099</v>
      </c>
      <c r="E44" s="354">
        <f t="shared" si="34"/>
        <v>27251.36842105263</v>
      </c>
      <c r="F44" s="55">
        <f t="shared" si="35"/>
        <v>244699.99197501835</v>
      </c>
      <c r="G44" s="355">
        <f t="shared" si="36"/>
        <v>56598.842851361107</v>
      </c>
      <c r="H44" s="336">
        <f t="shared" si="37"/>
        <v>56598.842851361107</v>
      </c>
      <c r="I44" s="52">
        <f t="shared" si="5"/>
        <v>0</v>
      </c>
      <c r="J44" s="52"/>
      <c r="K44" s="115"/>
      <c r="L44" s="54">
        <f t="shared" si="38"/>
        <v>0</v>
      </c>
      <c r="M44" s="115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6"/>
        <v/>
      </c>
      <c r="C45" s="50">
        <f>IF(D11="","-",+C44+1)</f>
        <v>2041</v>
      </c>
      <c r="D45" s="55">
        <f>IF(F44+SUM(E$17:E44)=D$10,F44,D$10-SUM(E$17:E44))</f>
        <v>244699.99197501835</v>
      </c>
      <c r="E45" s="354">
        <f t="shared" si="34"/>
        <v>27251.36842105263</v>
      </c>
      <c r="F45" s="55">
        <f t="shared" si="35"/>
        <v>217448.62355396571</v>
      </c>
      <c r="G45" s="355">
        <f t="shared" si="36"/>
        <v>53502.910423206638</v>
      </c>
      <c r="H45" s="336">
        <f t="shared" si="37"/>
        <v>53502.910423206638</v>
      </c>
      <c r="I45" s="52">
        <f t="shared" si="5"/>
        <v>0</v>
      </c>
      <c r="J45" s="52"/>
      <c r="K45" s="115"/>
      <c r="L45" s="54">
        <f t="shared" si="38"/>
        <v>0</v>
      </c>
      <c r="M45" s="115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6"/>
        <v/>
      </c>
      <c r="C46" s="50">
        <f>IF(D11="","-",+C45+1)</f>
        <v>2042</v>
      </c>
      <c r="D46" s="55">
        <f>IF(F45+SUM(E$17:E45)=D$10,F45,D$10-SUM(E$17:E45))</f>
        <v>217448.62355396571</v>
      </c>
      <c r="E46" s="354">
        <f t="shared" si="34"/>
        <v>27251.36842105263</v>
      </c>
      <c r="F46" s="55">
        <f t="shared" si="35"/>
        <v>190197.25513291307</v>
      </c>
      <c r="G46" s="355">
        <f t="shared" si="36"/>
        <v>50406.97799505217</v>
      </c>
      <c r="H46" s="336">
        <f t="shared" si="37"/>
        <v>50406.97799505217</v>
      </c>
      <c r="I46" s="52">
        <f t="shared" si="5"/>
        <v>0</v>
      </c>
      <c r="J46" s="52"/>
      <c r="K46" s="115"/>
      <c r="L46" s="54">
        <f t="shared" si="38"/>
        <v>0</v>
      </c>
      <c r="M46" s="115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6"/>
        <v/>
      </c>
      <c r="C47" s="50">
        <f>IF(D11="","-",+C46+1)</f>
        <v>2043</v>
      </c>
      <c r="D47" s="55">
        <f>IF(F46+SUM(E$17:E46)=D$10,F46,D$10-SUM(E$17:E46))</f>
        <v>190197.25513291307</v>
      </c>
      <c r="E47" s="354">
        <f t="shared" si="34"/>
        <v>27251.36842105263</v>
      </c>
      <c r="F47" s="55">
        <f t="shared" si="35"/>
        <v>162945.88671186042</v>
      </c>
      <c r="G47" s="355">
        <f t="shared" si="36"/>
        <v>47311.045566897701</v>
      </c>
      <c r="H47" s="336">
        <f t="shared" si="37"/>
        <v>47311.045566897701</v>
      </c>
      <c r="I47" s="52">
        <f t="shared" si="5"/>
        <v>0</v>
      </c>
      <c r="J47" s="52"/>
      <c r="K47" s="115"/>
      <c r="L47" s="54">
        <f t="shared" si="38"/>
        <v>0</v>
      </c>
      <c r="M47" s="115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6"/>
        <v/>
      </c>
      <c r="C48" s="50">
        <f>IF(D11="","-",+C47+1)</f>
        <v>2044</v>
      </c>
      <c r="D48" s="55">
        <f>IF(F47+SUM(E$17:E47)=D$10,F47,D$10-SUM(E$17:E47))</f>
        <v>162945.88671186042</v>
      </c>
      <c r="E48" s="354">
        <f t="shared" si="34"/>
        <v>27251.36842105263</v>
      </c>
      <c r="F48" s="55">
        <f t="shared" si="35"/>
        <v>135694.51829080778</v>
      </c>
      <c r="G48" s="355">
        <f t="shared" si="36"/>
        <v>44215.113138743232</v>
      </c>
      <c r="H48" s="336">
        <f t="shared" si="37"/>
        <v>44215.113138743232</v>
      </c>
      <c r="I48" s="52">
        <f t="shared" si="5"/>
        <v>0</v>
      </c>
      <c r="J48" s="52"/>
      <c r="K48" s="115"/>
      <c r="L48" s="54">
        <f t="shared" si="38"/>
        <v>0</v>
      </c>
      <c r="M48" s="115"/>
      <c r="N48" s="54">
        <f t="shared" si="10"/>
        <v>0</v>
      </c>
      <c r="O48" s="54">
        <f t="shared" si="11"/>
        <v>0</v>
      </c>
      <c r="P48" s="1"/>
    </row>
    <row r="49" spans="2:16">
      <c r="B49" s="7" t="str">
        <f t="shared" si="6"/>
        <v/>
      </c>
      <c r="C49" s="50">
        <f>IF(D11="","-",+C48+1)</f>
        <v>2045</v>
      </c>
      <c r="D49" s="55">
        <f>IF(F48+SUM(E$17:E48)=D$10,F48,D$10-SUM(E$17:E48))</f>
        <v>135694.51829080778</v>
      </c>
      <c r="E49" s="354">
        <f t="shared" si="34"/>
        <v>27251.36842105263</v>
      </c>
      <c r="F49" s="55">
        <f t="shared" si="35"/>
        <v>108443.14986975516</v>
      </c>
      <c r="G49" s="355">
        <f t="shared" si="36"/>
        <v>41119.180710588764</v>
      </c>
      <c r="H49" s="336">
        <f t="shared" si="37"/>
        <v>41119.180710588764</v>
      </c>
      <c r="I49" s="52">
        <f t="shared" si="5"/>
        <v>0</v>
      </c>
      <c r="J49" s="52"/>
      <c r="K49" s="115"/>
      <c r="L49" s="54">
        <f t="shared" si="38"/>
        <v>0</v>
      </c>
      <c r="M49" s="115"/>
      <c r="N49" s="54">
        <f t="shared" si="10"/>
        <v>0</v>
      </c>
      <c r="O49" s="54">
        <f t="shared" si="11"/>
        <v>0</v>
      </c>
      <c r="P49" s="1"/>
    </row>
    <row r="50" spans="2:16">
      <c r="B50" s="7" t="str">
        <f t="shared" si="6"/>
        <v/>
      </c>
      <c r="C50" s="50">
        <f>IF(D11="","-",+C49+1)</f>
        <v>2046</v>
      </c>
      <c r="D50" s="55">
        <f>IF(F49+SUM(E$17:E49)=D$10,F49,D$10-SUM(E$17:E49))</f>
        <v>108443.14986975516</v>
      </c>
      <c r="E50" s="354">
        <f t="shared" si="34"/>
        <v>27251.36842105263</v>
      </c>
      <c r="F50" s="55">
        <f t="shared" si="35"/>
        <v>81191.781448702532</v>
      </c>
      <c r="G50" s="355">
        <f t="shared" si="36"/>
        <v>38023.248282434302</v>
      </c>
      <c r="H50" s="336">
        <f t="shared" si="37"/>
        <v>38023.248282434302</v>
      </c>
      <c r="I50" s="52">
        <f t="shared" si="5"/>
        <v>0</v>
      </c>
      <c r="J50" s="52"/>
      <c r="K50" s="115"/>
      <c r="L50" s="54">
        <f t="shared" si="38"/>
        <v>0</v>
      </c>
      <c r="M50" s="115"/>
      <c r="N50" s="54">
        <f t="shared" si="10"/>
        <v>0</v>
      </c>
      <c r="O50" s="54">
        <f t="shared" si="11"/>
        <v>0</v>
      </c>
      <c r="P50" s="1"/>
    </row>
    <row r="51" spans="2:16">
      <c r="B51" s="7" t="str">
        <f t="shared" si="6"/>
        <v/>
      </c>
      <c r="C51" s="50">
        <f>IF(D11="","-",+C50+1)</f>
        <v>2047</v>
      </c>
      <c r="D51" s="55">
        <f>IF(F50+SUM(E$17:E50)=D$10,F50,D$10-SUM(E$17:E50))</f>
        <v>81191.781448702532</v>
      </c>
      <c r="E51" s="354">
        <f t="shared" si="34"/>
        <v>27251.36842105263</v>
      </c>
      <c r="F51" s="55">
        <f t="shared" si="35"/>
        <v>53940.413027649905</v>
      </c>
      <c r="G51" s="355">
        <f t="shared" si="36"/>
        <v>34927.315854279834</v>
      </c>
      <c r="H51" s="336">
        <f t="shared" si="37"/>
        <v>34927.315854279834</v>
      </c>
      <c r="I51" s="52">
        <f t="shared" si="5"/>
        <v>0</v>
      </c>
      <c r="J51" s="52"/>
      <c r="K51" s="115"/>
      <c r="L51" s="54">
        <f t="shared" si="38"/>
        <v>0</v>
      </c>
      <c r="M51" s="115"/>
      <c r="N51" s="54">
        <f t="shared" si="10"/>
        <v>0</v>
      </c>
      <c r="O51" s="54">
        <f t="shared" si="11"/>
        <v>0</v>
      </c>
      <c r="P51" s="1"/>
    </row>
    <row r="52" spans="2:16">
      <c r="B52" s="7" t="str">
        <f t="shared" si="6"/>
        <v/>
      </c>
      <c r="C52" s="50">
        <f>IF(D11="","-",+C51+1)</f>
        <v>2048</v>
      </c>
      <c r="D52" s="55">
        <f>IF(F51+SUM(E$17:E51)=D$10,F51,D$10-SUM(E$17:E51))</f>
        <v>53940.413027649905</v>
      </c>
      <c r="E52" s="354">
        <f t="shared" si="34"/>
        <v>27251.36842105263</v>
      </c>
      <c r="F52" s="55">
        <f t="shared" si="35"/>
        <v>26689.044606597276</v>
      </c>
      <c r="G52" s="355">
        <f t="shared" si="36"/>
        <v>31831.383426125365</v>
      </c>
      <c r="H52" s="336">
        <f t="shared" si="37"/>
        <v>31831.383426125365</v>
      </c>
      <c r="I52" s="52">
        <f t="shared" si="5"/>
        <v>0</v>
      </c>
      <c r="J52" s="52"/>
      <c r="K52" s="115"/>
      <c r="L52" s="54">
        <f t="shared" si="38"/>
        <v>0</v>
      </c>
      <c r="M52" s="115"/>
      <c r="N52" s="54">
        <f t="shared" si="10"/>
        <v>0</v>
      </c>
      <c r="O52" s="54">
        <f t="shared" si="11"/>
        <v>0</v>
      </c>
      <c r="P52" s="1"/>
    </row>
    <row r="53" spans="2:16">
      <c r="B53" s="7" t="str">
        <f t="shared" si="6"/>
        <v/>
      </c>
      <c r="C53" s="50">
        <f>IF(D11="","-",+C52+1)</f>
        <v>2049</v>
      </c>
      <c r="D53" s="55">
        <f>IF(F52+SUM(E$17:E52)=D$10,F52,D$10-SUM(E$17:E52))</f>
        <v>26689.044606597276</v>
      </c>
      <c r="E53" s="354">
        <f t="shared" si="34"/>
        <v>26689.044606597276</v>
      </c>
      <c r="F53" s="55">
        <f t="shared" si="35"/>
        <v>0</v>
      </c>
      <c r="G53" s="355">
        <f t="shared" si="36"/>
        <v>28205.069002095024</v>
      </c>
      <c r="H53" s="336">
        <f t="shared" si="37"/>
        <v>28205.069002095024</v>
      </c>
      <c r="I53" s="52">
        <f t="shared" si="5"/>
        <v>0</v>
      </c>
      <c r="J53" s="52"/>
      <c r="K53" s="115"/>
      <c r="L53" s="54">
        <f t="shared" si="38"/>
        <v>0</v>
      </c>
      <c r="M53" s="115"/>
      <c r="N53" s="54">
        <f t="shared" si="10"/>
        <v>0</v>
      </c>
      <c r="O53" s="54">
        <f t="shared" si="11"/>
        <v>0</v>
      </c>
      <c r="P53" s="1"/>
    </row>
    <row r="54" spans="2:16">
      <c r="B54" s="7" t="str">
        <f t="shared" si="6"/>
        <v/>
      </c>
      <c r="C54" s="50">
        <f>IF(D11="","-",+C53+1)</f>
        <v>2050</v>
      </c>
      <c r="D54" s="55">
        <f>IF(F53+SUM(E$17:E53)=D$10,F53,D$10-SUM(E$17:E53))</f>
        <v>0</v>
      </c>
      <c r="E54" s="354">
        <f t="shared" si="34"/>
        <v>0</v>
      </c>
      <c r="F54" s="55">
        <f t="shared" si="35"/>
        <v>0</v>
      </c>
      <c r="G54" s="355">
        <f t="shared" si="36"/>
        <v>0</v>
      </c>
      <c r="H54" s="336">
        <f t="shared" si="37"/>
        <v>0</v>
      </c>
      <c r="I54" s="52">
        <f t="shared" si="5"/>
        <v>0</v>
      </c>
      <c r="J54" s="52"/>
      <c r="K54" s="115"/>
      <c r="L54" s="54">
        <f t="shared" si="38"/>
        <v>0</v>
      </c>
      <c r="M54" s="115"/>
      <c r="N54" s="54">
        <f t="shared" si="10"/>
        <v>0</v>
      </c>
      <c r="O54" s="54">
        <f t="shared" si="11"/>
        <v>0</v>
      </c>
      <c r="P54" s="1"/>
    </row>
    <row r="55" spans="2:16">
      <c r="B55" s="7" t="str">
        <f t="shared" si="6"/>
        <v/>
      </c>
      <c r="C55" s="50">
        <f>IF(D11="","-",+C54+1)</f>
        <v>2051</v>
      </c>
      <c r="D55" s="55">
        <f>IF(F54+SUM(E$17:E54)=D$10,F54,D$10-SUM(E$17:E54))</f>
        <v>0</v>
      </c>
      <c r="E55" s="354">
        <f t="shared" si="34"/>
        <v>0</v>
      </c>
      <c r="F55" s="55">
        <f t="shared" si="35"/>
        <v>0</v>
      </c>
      <c r="G55" s="355">
        <f t="shared" si="36"/>
        <v>0</v>
      </c>
      <c r="H55" s="336">
        <f t="shared" si="37"/>
        <v>0</v>
      </c>
      <c r="I55" s="52">
        <f t="shared" si="5"/>
        <v>0</v>
      </c>
      <c r="J55" s="52"/>
      <c r="K55" s="115"/>
      <c r="L55" s="54">
        <f t="shared" si="38"/>
        <v>0</v>
      </c>
      <c r="M55" s="115"/>
      <c r="N55" s="54">
        <f t="shared" si="10"/>
        <v>0</v>
      </c>
      <c r="O55" s="54">
        <f t="shared" si="11"/>
        <v>0</v>
      </c>
      <c r="P55" s="1"/>
    </row>
    <row r="56" spans="2:16">
      <c r="B56" s="7" t="str">
        <f t="shared" si="6"/>
        <v/>
      </c>
      <c r="C56" s="50">
        <f>IF(D11="","-",+C55+1)</f>
        <v>2052</v>
      </c>
      <c r="D56" s="55">
        <f>IF(F55+SUM(E$17:E55)=D$10,F55,D$10-SUM(E$17:E55))</f>
        <v>0</v>
      </c>
      <c r="E56" s="354">
        <f t="shared" si="34"/>
        <v>0</v>
      </c>
      <c r="F56" s="55">
        <f t="shared" si="35"/>
        <v>0</v>
      </c>
      <c r="G56" s="355">
        <f t="shared" si="36"/>
        <v>0</v>
      </c>
      <c r="H56" s="336">
        <f t="shared" si="37"/>
        <v>0</v>
      </c>
      <c r="I56" s="52">
        <f t="shared" si="5"/>
        <v>0</v>
      </c>
      <c r="J56" s="52"/>
      <c r="K56" s="115"/>
      <c r="L56" s="54">
        <f t="shared" si="38"/>
        <v>0</v>
      </c>
      <c r="M56" s="115"/>
      <c r="N56" s="54">
        <f t="shared" si="10"/>
        <v>0</v>
      </c>
      <c r="O56" s="54">
        <f t="shared" si="11"/>
        <v>0</v>
      </c>
      <c r="P56" s="1"/>
    </row>
    <row r="57" spans="2:16">
      <c r="B57" s="7" t="str">
        <f t="shared" si="6"/>
        <v/>
      </c>
      <c r="C57" s="50">
        <f>IF(D11="","-",+C56+1)</f>
        <v>2053</v>
      </c>
      <c r="D57" s="55">
        <f>IF(F56+SUM(E$17:E56)=D$10,F56,D$10-SUM(E$17:E56))</f>
        <v>0</v>
      </c>
      <c r="E57" s="354">
        <f t="shared" si="34"/>
        <v>0</v>
      </c>
      <c r="F57" s="55">
        <f t="shared" si="35"/>
        <v>0</v>
      </c>
      <c r="G57" s="355">
        <f t="shared" si="36"/>
        <v>0</v>
      </c>
      <c r="H57" s="336">
        <f t="shared" si="37"/>
        <v>0</v>
      </c>
      <c r="I57" s="52">
        <f t="shared" si="5"/>
        <v>0</v>
      </c>
      <c r="J57" s="52"/>
      <c r="K57" s="115"/>
      <c r="L57" s="54">
        <f t="shared" si="38"/>
        <v>0</v>
      </c>
      <c r="M57" s="115"/>
      <c r="N57" s="54">
        <f t="shared" si="10"/>
        <v>0</v>
      </c>
      <c r="O57" s="54">
        <f t="shared" si="11"/>
        <v>0</v>
      </c>
      <c r="P57" s="1"/>
    </row>
    <row r="58" spans="2:16">
      <c r="B58" s="7" t="str">
        <f t="shared" si="6"/>
        <v/>
      </c>
      <c r="C58" s="50">
        <f>IF(D11="","-",+C57+1)</f>
        <v>2054</v>
      </c>
      <c r="D58" s="55">
        <f>IF(F57+SUM(E$17:E57)=D$10,F57,D$10-SUM(E$17:E57))</f>
        <v>0</v>
      </c>
      <c r="E58" s="354">
        <f t="shared" si="34"/>
        <v>0</v>
      </c>
      <c r="F58" s="55">
        <f t="shared" si="35"/>
        <v>0</v>
      </c>
      <c r="G58" s="355">
        <f t="shared" si="36"/>
        <v>0</v>
      </c>
      <c r="H58" s="336">
        <f t="shared" si="37"/>
        <v>0</v>
      </c>
      <c r="I58" s="52">
        <f t="shared" si="5"/>
        <v>0</v>
      </c>
      <c r="J58" s="52"/>
      <c r="K58" s="115"/>
      <c r="L58" s="54">
        <f t="shared" si="38"/>
        <v>0</v>
      </c>
      <c r="M58" s="115"/>
      <c r="N58" s="54">
        <f t="shared" si="10"/>
        <v>0</v>
      </c>
      <c r="O58" s="54">
        <f t="shared" si="11"/>
        <v>0</v>
      </c>
      <c r="P58" s="1"/>
    </row>
    <row r="59" spans="2:16">
      <c r="B59" s="7" t="str">
        <f t="shared" si="6"/>
        <v/>
      </c>
      <c r="C59" s="50">
        <f>IF(D11="","-",+C58+1)</f>
        <v>2055</v>
      </c>
      <c r="D59" s="55">
        <f>IF(F58+SUM(E$17:E58)=D$10,F58,D$10-SUM(E$17:E58))</f>
        <v>0</v>
      </c>
      <c r="E59" s="354">
        <f t="shared" si="34"/>
        <v>0</v>
      </c>
      <c r="F59" s="55">
        <f t="shared" si="35"/>
        <v>0</v>
      </c>
      <c r="G59" s="355">
        <f t="shared" si="36"/>
        <v>0</v>
      </c>
      <c r="H59" s="336">
        <f t="shared" si="37"/>
        <v>0</v>
      </c>
      <c r="I59" s="52">
        <f t="shared" si="5"/>
        <v>0</v>
      </c>
      <c r="J59" s="52"/>
      <c r="K59" s="115"/>
      <c r="L59" s="54">
        <f t="shared" si="38"/>
        <v>0</v>
      </c>
      <c r="M59" s="115"/>
      <c r="N59" s="54">
        <f t="shared" si="10"/>
        <v>0</v>
      </c>
      <c r="O59" s="54">
        <f t="shared" si="11"/>
        <v>0</v>
      </c>
      <c r="P59" s="1"/>
    </row>
    <row r="60" spans="2:16">
      <c r="B60" s="7" t="str">
        <f t="shared" si="6"/>
        <v/>
      </c>
      <c r="C60" s="50">
        <f>IF(D11="","-",+C59+1)</f>
        <v>2056</v>
      </c>
      <c r="D60" s="55">
        <f>IF(F59+SUM(E$17:E59)=D$10,F59,D$10-SUM(E$17:E59))</f>
        <v>0</v>
      </c>
      <c r="E60" s="354">
        <f t="shared" si="34"/>
        <v>0</v>
      </c>
      <c r="F60" s="55">
        <f t="shared" si="35"/>
        <v>0</v>
      </c>
      <c r="G60" s="355">
        <f t="shared" si="36"/>
        <v>0</v>
      </c>
      <c r="H60" s="336">
        <f t="shared" si="37"/>
        <v>0</v>
      </c>
      <c r="I60" s="52">
        <f t="shared" si="5"/>
        <v>0</v>
      </c>
      <c r="J60" s="52"/>
      <c r="K60" s="115"/>
      <c r="L60" s="54">
        <f t="shared" si="38"/>
        <v>0</v>
      </c>
      <c r="M60" s="115"/>
      <c r="N60" s="54">
        <f t="shared" si="10"/>
        <v>0</v>
      </c>
      <c r="O60" s="54">
        <f t="shared" si="11"/>
        <v>0</v>
      </c>
      <c r="P60" s="1"/>
    </row>
    <row r="61" spans="2:16">
      <c r="B61" s="7" t="str">
        <f t="shared" si="6"/>
        <v/>
      </c>
      <c r="C61" s="50">
        <f>IF(D11="","-",+C60+1)</f>
        <v>2057</v>
      </c>
      <c r="D61" s="55">
        <f>IF(F60+SUM(E$17:E60)=D$10,F60,D$10-SUM(E$17:E60))</f>
        <v>0</v>
      </c>
      <c r="E61" s="354">
        <f t="shared" si="34"/>
        <v>0</v>
      </c>
      <c r="F61" s="55">
        <f t="shared" si="35"/>
        <v>0</v>
      </c>
      <c r="G61" s="355">
        <f t="shared" si="36"/>
        <v>0</v>
      </c>
      <c r="H61" s="336">
        <f t="shared" si="37"/>
        <v>0</v>
      </c>
      <c r="I61" s="52">
        <f t="shared" si="5"/>
        <v>0</v>
      </c>
      <c r="J61" s="52"/>
      <c r="K61" s="115"/>
      <c r="L61" s="54">
        <f t="shared" si="38"/>
        <v>0</v>
      </c>
      <c r="M61" s="115"/>
      <c r="N61" s="54">
        <f t="shared" si="10"/>
        <v>0</v>
      </c>
      <c r="O61" s="54">
        <f t="shared" si="11"/>
        <v>0</v>
      </c>
      <c r="P61" s="1"/>
    </row>
    <row r="62" spans="2:16">
      <c r="B62" s="7" t="str">
        <f t="shared" si="6"/>
        <v/>
      </c>
      <c r="C62" s="50">
        <f>IF(D11="","-",+C61+1)</f>
        <v>2058</v>
      </c>
      <c r="D62" s="55">
        <f>IF(F61+SUM(E$17:E61)=D$10,F61,D$10-SUM(E$17:E61))</f>
        <v>0</v>
      </c>
      <c r="E62" s="354">
        <f t="shared" si="34"/>
        <v>0</v>
      </c>
      <c r="F62" s="55">
        <f t="shared" si="35"/>
        <v>0</v>
      </c>
      <c r="G62" s="355">
        <f t="shared" si="36"/>
        <v>0</v>
      </c>
      <c r="H62" s="336">
        <f t="shared" si="37"/>
        <v>0</v>
      </c>
      <c r="I62" s="52">
        <f t="shared" si="5"/>
        <v>0</v>
      </c>
      <c r="J62" s="52"/>
      <c r="K62" s="115"/>
      <c r="L62" s="54">
        <f t="shared" si="38"/>
        <v>0</v>
      </c>
      <c r="M62" s="115"/>
      <c r="N62" s="54">
        <f t="shared" si="10"/>
        <v>0</v>
      </c>
      <c r="O62" s="54">
        <f t="shared" si="11"/>
        <v>0</v>
      </c>
      <c r="P62" s="1"/>
    </row>
    <row r="63" spans="2:16">
      <c r="B63" s="7" t="str">
        <f t="shared" si="6"/>
        <v/>
      </c>
      <c r="C63" s="50">
        <f>IF(D11="","-",+C62+1)</f>
        <v>2059</v>
      </c>
      <c r="D63" s="55">
        <f>IF(F62+SUM(E$17:E62)=D$10,F62,D$10-SUM(E$17:E62))</f>
        <v>0</v>
      </c>
      <c r="E63" s="354">
        <f t="shared" si="34"/>
        <v>0</v>
      </c>
      <c r="F63" s="55">
        <f t="shared" si="35"/>
        <v>0</v>
      </c>
      <c r="G63" s="355">
        <f t="shared" si="36"/>
        <v>0</v>
      </c>
      <c r="H63" s="336">
        <f t="shared" si="37"/>
        <v>0</v>
      </c>
      <c r="I63" s="52">
        <f t="shared" si="5"/>
        <v>0</v>
      </c>
      <c r="J63" s="52"/>
      <c r="K63" s="115"/>
      <c r="L63" s="54">
        <f t="shared" si="38"/>
        <v>0</v>
      </c>
      <c r="M63" s="115"/>
      <c r="N63" s="54">
        <f t="shared" si="10"/>
        <v>0</v>
      </c>
      <c r="O63" s="54">
        <f t="shared" si="11"/>
        <v>0</v>
      </c>
      <c r="P63" s="1"/>
    </row>
    <row r="64" spans="2:16">
      <c r="B64" s="7" t="str">
        <f t="shared" si="6"/>
        <v/>
      </c>
      <c r="C64" s="50">
        <f>IF(D11="","-",+C63+1)</f>
        <v>2060</v>
      </c>
      <c r="D64" s="55">
        <f>IF(F63+SUM(E$17:E63)=D$10,F63,D$10-SUM(E$17:E63))</f>
        <v>0</v>
      </c>
      <c r="E64" s="354">
        <f t="shared" si="34"/>
        <v>0</v>
      </c>
      <c r="F64" s="55">
        <f t="shared" si="35"/>
        <v>0</v>
      </c>
      <c r="G64" s="355">
        <f t="shared" si="36"/>
        <v>0</v>
      </c>
      <c r="H64" s="336">
        <f t="shared" si="37"/>
        <v>0</v>
      </c>
      <c r="I64" s="52">
        <f t="shared" si="5"/>
        <v>0</v>
      </c>
      <c r="J64" s="52"/>
      <c r="K64" s="115"/>
      <c r="L64" s="54">
        <f t="shared" si="38"/>
        <v>0</v>
      </c>
      <c r="M64" s="115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6"/>
        <v/>
      </c>
      <c r="C65" s="50">
        <f>IF(D11="","-",+C64+1)</f>
        <v>2061</v>
      </c>
      <c r="D65" s="55">
        <f>IF(F64+SUM(E$17:E64)=D$10,F64,D$10-SUM(E$17:E64))</f>
        <v>0</v>
      </c>
      <c r="E65" s="354">
        <f t="shared" si="34"/>
        <v>0</v>
      </c>
      <c r="F65" s="55">
        <f t="shared" si="35"/>
        <v>0</v>
      </c>
      <c r="G65" s="355">
        <f t="shared" si="36"/>
        <v>0</v>
      </c>
      <c r="H65" s="336">
        <f t="shared" si="37"/>
        <v>0</v>
      </c>
      <c r="I65" s="52">
        <f t="shared" si="5"/>
        <v>0</v>
      </c>
      <c r="J65" s="52"/>
      <c r="K65" s="115"/>
      <c r="L65" s="54">
        <f t="shared" si="38"/>
        <v>0</v>
      </c>
      <c r="M65" s="115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6"/>
        <v/>
      </c>
      <c r="C66" s="50">
        <f>IF(D11="","-",+C65+1)</f>
        <v>2062</v>
      </c>
      <c r="D66" s="55">
        <f>IF(F65+SUM(E$17:E65)=D$10,F65,D$10-SUM(E$17:E65))</f>
        <v>0</v>
      </c>
      <c r="E66" s="354">
        <f t="shared" si="34"/>
        <v>0</v>
      </c>
      <c r="F66" s="55">
        <f t="shared" si="35"/>
        <v>0</v>
      </c>
      <c r="G66" s="355">
        <f t="shared" si="36"/>
        <v>0</v>
      </c>
      <c r="H66" s="336">
        <f t="shared" si="37"/>
        <v>0</v>
      </c>
      <c r="I66" s="52">
        <f t="shared" si="5"/>
        <v>0</v>
      </c>
      <c r="J66" s="52"/>
      <c r="K66" s="115"/>
      <c r="L66" s="54">
        <f t="shared" si="38"/>
        <v>0</v>
      </c>
      <c r="M66" s="115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6"/>
        <v/>
      </c>
      <c r="C67" s="50">
        <f>IF(D11="","-",+C66+1)</f>
        <v>2063</v>
      </c>
      <c r="D67" s="55">
        <f>IF(F66+SUM(E$17:E66)=D$10,F66,D$10-SUM(E$17:E66))</f>
        <v>0</v>
      </c>
      <c r="E67" s="354">
        <f t="shared" si="34"/>
        <v>0</v>
      </c>
      <c r="F67" s="55">
        <f t="shared" si="35"/>
        <v>0</v>
      </c>
      <c r="G67" s="355">
        <f t="shared" si="36"/>
        <v>0</v>
      </c>
      <c r="H67" s="336">
        <f t="shared" si="37"/>
        <v>0</v>
      </c>
      <c r="I67" s="52">
        <f t="shared" si="5"/>
        <v>0</v>
      </c>
      <c r="J67" s="52"/>
      <c r="K67" s="115"/>
      <c r="L67" s="54">
        <f t="shared" si="38"/>
        <v>0</v>
      </c>
      <c r="M67" s="115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6"/>
        <v/>
      </c>
      <c r="C68" s="50">
        <f>IF(D11="","-",+C67+1)</f>
        <v>2064</v>
      </c>
      <c r="D68" s="55">
        <f>IF(F67+SUM(E$17:E67)=D$10,F67,D$10-SUM(E$17:E67))</f>
        <v>0</v>
      </c>
      <c r="E68" s="354">
        <f t="shared" si="34"/>
        <v>0</v>
      </c>
      <c r="F68" s="55">
        <f t="shared" si="35"/>
        <v>0</v>
      </c>
      <c r="G68" s="355">
        <f t="shared" si="36"/>
        <v>0</v>
      </c>
      <c r="H68" s="336">
        <f t="shared" si="37"/>
        <v>0</v>
      </c>
      <c r="I68" s="52">
        <f t="shared" si="5"/>
        <v>0</v>
      </c>
      <c r="J68" s="52"/>
      <c r="K68" s="115"/>
      <c r="L68" s="54">
        <f t="shared" si="38"/>
        <v>0</v>
      </c>
      <c r="M68" s="115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6"/>
        <v/>
      </c>
      <c r="C69" s="50">
        <f>IF(D11="","-",+C68+1)</f>
        <v>2065</v>
      </c>
      <c r="D69" s="55">
        <f>IF(F68+SUM(E$17:E68)=D$10,F68,D$10-SUM(E$17:E68))</f>
        <v>0</v>
      </c>
      <c r="E69" s="354">
        <f t="shared" si="34"/>
        <v>0</v>
      </c>
      <c r="F69" s="55">
        <f t="shared" si="35"/>
        <v>0</v>
      </c>
      <c r="G69" s="355">
        <f t="shared" si="36"/>
        <v>0</v>
      </c>
      <c r="H69" s="336">
        <f t="shared" si="37"/>
        <v>0</v>
      </c>
      <c r="I69" s="52">
        <f t="shared" si="5"/>
        <v>0</v>
      </c>
      <c r="J69" s="52"/>
      <c r="K69" s="115"/>
      <c r="L69" s="54">
        <f t="shared" si="38"/>
        <v>0</v>
      </c>
      <c r="M69" s="115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6"/>
        <v/>
      </c>
      <c r="C70" s="50">
        <f>IF(D11="","-",+C69+1)</f>
        <v>2066</v>
      </c>
      <c r="D70" s="55">
        <f>IF(F69+SUM(E$17:E69)=D$10,F69,D$10-SUM(E$17:E69))</f>
        <v>0</v>
      </c>
      <c r="E70" s="354">
        <f t="shared" si="34"/>
        <v>0</v>
      </c>
      <c r="F70" s="55">
        <f t="shared" si="35"/>
        <v>0</v>
      </c>
      <c r="G70" s="355">
        <f t="shared" si="36"/>
        <v>0</v>
      </c>
      <c r="H70" s="336">
        <f t="shared" si="37"/>
        <v>0</v>
      </c>
      <c r="I70" s="52">
        <f t="shared" si="5"/>
        <v>0</v>
      </c>
      <c r="J70" s="52"/>
      <c r="K70" s="115"/>
      <c r="L70" s="54">
        <f t="shared" si="38"/>
        <v>0</v>
      </c>
      <c r="M70" s="115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6"/>
        <v/>
      </c>
      <c r="C71" s="50">
        <f>IF(D11="","-",+C70+1)</f>
        <v>2067</v>
      </c>
      <c r="D71" s="55">
        <f>IF(F70+SUM(E$17:E70)=D$10,F70,D$10-SUM(E$17:E70))</f>
        <v>0</v>
      </c>
      <c r="E71" s="354">
        <f t="shared" si="34"/>
        <v>0</v>
      </c>
      <c r="F71" s="55">
        <f t="shared" si="35"/>
        <v>0</v>
      </c>
      <c r="G71" s="355">
        <f t="shared" si="36"/>
        <v>0</v>
      </c>
      <c r="H71" s="336">
        <f t="shared" si="37"/>
        <v>0</v>
      </c>
      <c r="I71" s="52">
        <f t="shared" si="5"/>
        <v>0</v>
      </c>
      <c r="J71" s="52"/>
      <c r="K71" s="115"/>
      <c r="L71" s="54">
        <f t="shared" si="38"/>
        <v>0</v>
      </c>
      <c r="M71" s="115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6"/>
        <v/>
      </c>
      <c r="C72" s="58">
        <f>IF(D11="","-",+C71+1)</f>
        <v>2068</v>
      </c>
      <c r="D72" s="59">
        <f>IF(F71+SUM(E$17:E71)=D$10,F71,D$10-SUM(E$17:E71))</f>
        <v>0</v>
      </c>
      <c r="E72" s="357">
        <f t="shared" si="34"/>
        <v>0</v>
      </c>
      <c r="F72" s="59">
        <f t="shared" si="35"/>
        <v>0</v>
      </c>
      <c r="G72" s="59">
        <f t="shared" si="36"/>
        <v>0</v>
      </c>
      <c r="H72" s="59">
        <f t="shared" si="37"/>
        <v>0</v>
      </c>
      <c r="I72" s="62">
        <f t="shared" si="5"/>
        <v>0</v>
      </c>
      <c r="J72" s="59"/>
      <c r="K72" s="116"/>
      <c r="L72" s="62">
        <f t="shared" si="38"/>
        <v>0</v>
      </c>
      <c r="M72" s="116"/>
      <c r="N72" s="62">
        <f t="shared" si="10"/>
        <v>0</v>
      </c>
      <c r="O72" s="62">
        <f t="shared" si="11"/>
        <v>0</v>
      </c>
      <c r="P72" s="1"/>
    </row>
    <row r="73" spans="2:16">
      <c r="C73" s="12" t="s">
        <v>77</v>
      </c>
      <c r="D73" s="266"/>
      <c r="E73" s="266">
        <f>SUM(E17:E72)</f>
        <v>1035551.9999999994</v>
      </c>
      <c r="F73" s="266"/>
      <c r="G73" s="266">
        <f>SUM(G17:G72)</f>
        <v>5103920.545084957</v>
      </c>
      <c r="H73" s="266">
        <f>SUM(H17:H72)</f>
        <v>5103920.545084957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14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101489.36842105263</v>
      </c>
      <c r="N87" s="364">
        <f>IF(J92&lt;D11,0,VLOOKUP(J92,C17:O72,11))</f>
        <v>101489.36842105263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116464.42092285417</v>
      </c>
      <c r="N88" s="367">
        <f>IF(J92&lt;D11,0,VLOOKUP(J92,C99:P154,7))</f>
        <v>116464.42092285417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Ashdown West - Craig Junction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14975.052501801547</v>
      </c>
      <c r="N89" s="369">
        <f>+N88-N87</f>
        <v>14975.052501801547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TP2009092</v>
      </c>
      <c r="E91" s="74" t="str">
        <f>E9</f>
        <v xml:space="preserve">  SPP Project ID = 770</v>
      </c>
      <c r="F91" s="74"/>
      <c r="G91" s="74"/>
      <c r="H91" s="74"/>
      <c r="I91" s="74"/>
      <c r="J91" s="74"/>
    </row>
    <row r="92" spans="1:16">
      <c r="C92" s="128" t="s">
        <v>226</v>
      </c>
      <c r="D92" s="335">
        <v>1035552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507">
        <f>D11</f>
        <v>2013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+D12</f>
        <v>2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27988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2013</v>
      </c>
      <c r="D99" s="411">
        <v>0</v>
      </c>
      <c r="E99" s="412">
        <v>16595</v>
      </c>
      <c r="F99" s="413">
        <v>1018741</v>
      </c>
      <c r="G99" s="429">
        <v>509371</v>
      </c>
      <c r="H99" s="430">
        <v>89910</v>
      </c>
      <c r="I99" s="431">
        <v>89910</v>
      </c>
      <c r="J99" s="54">
        <v>0</v>
      </c>
      <c r="K99" s="54"/>
      <c r="L99" s="350">
        <f t="shared" ref="L99:L104" si="39">H99</f>
        <v>89910</v>
      </c>
      <c r="M99" s="63">
        <f t="shared" ref="M99:M104" si="40">IF(L99&lt;&gt;0,+H99-L99,0)</f>
        <v>0</v>
      </c>
      <c r="N99" s="350">
        <f t="shared" ref="N99:N104" si="41">I99</f>
        <v>89910</v>
      </c>
      <c r="O99" s="52">
        <f t="shared" ref="O99:O104" si="42">IF(N99&lt;&gt;0,+I99-N99,0)</f>
        <v>0</v>
      </c>
      <c r="P99" s="54">
        <f t="shared" ref="P99:P104" si="43">+O99-M99</f>
        <v>0</v>
      </c>
    </row>
    <row r="100" spans="1:16">
      <c r="B100" s="7" t="str">
        <f>IF(D100=F99,"","IU")</f>
        <v>IU</v>
      </c>
      <c r="C100" s="50">
        <f>IF(D93="","-",+C99+1)</f>
        <v>2014</v>
      </c>
      <c r="D100" s="411">
        <v>1018957</v>
      </c>
      <c r="E100" s="412">
        <v>19914</v>
      </c>
      <c r="F100" s="413">
        <v>999043</v>
      </c>
      <c r="G100" s="413">
        <v>1009000</v>
      </c>
      <c r="H100" s="412">
        <v>161775</v>
      </c>
      <c r="I100" s="414">
        <v>161775</v>
      </c>
      <c r="J100" s="54">
        <f>+I100-H100</f>
        <v>0</v>
      </c>
      <c r="K100" s="54"/>
      <c r="L100" s="350">
        <f t="shared" si="39"/>
        <v>161775</v>
      </c>
      <c r="M100" s="63">
        <f t="shared" si="40"/>
        <v>0</v>
      </c>
      <c r="N100" s="350">
        <f t="shared" si="41"/>
        <v>161775</v>
      </c>
      <c r="O100" s="52">
        <f t="shared" si="42"/>
        <v>0</v>
      </c>
      <c r="P100" s="54">
        <f t="shared" si="43"/>
        <v>0</v>
      </c>
    </row>
    <row r="101" spans="1:16">
      <c r="B101" s="7" t="str">
        <f t="shared" ref="B101:B154" si="44">IF(D101=F100,"","IU")</f>
        <v/>
      </c>
      <c r="C101" s="50">
        <f>IF(D93="","-",+C100+1)</f>
        <v>2015</v>
      </c>
      <c r="D101" s="411">
        <v>999043</v>
      </c>
      <c r="E101" s="412">
        <v>19914</v>
      </c>
      <c r="F101" s="413">
        <v>979129</v>
      </c>
      <c r="G101" s="413">
        <v>989086</v>
      </c>
      <c r="H101" s="412">
        <v>154866.83205665913</v>
      </c>
      <c r="I101" s="414">
        <v>154866.83205665913</v>
      </c>
      <c r="J101" s="54">
        <f>+I101-H101</f>
        <v>0</v>
      </c>
      <c r="K101" s="54"/>
      <c r="L101" s="350">
        <f t="shared" si="39"/>
        <v>154866.83205665913</v>
      </c>
      <c r="M101" s="63">
        <f t="shared" si="40"/>
        <v>0</v>
      </c>
      <c r="N101" s="350">
        <f t="shared" si="41"/>
        <v>154866.83205665913</v>
      </c>
      <c r="O101" s="52">
        <f t="shared" si="42"/>
        <v>0</v>
      </c>
      <c r="P101" s="54">
        <f t="shared" si="43"/>
        <v>0</v>
      </c>
    </row>
    <row r="102" spans="1:16">
      <c r="B102" s="7" t="str">
        <f t="shared" si="44"/>
        <v/>
      </c>
      <c r="C102" s="50">
        <f>IF(D93="","-",+C101+1)</f>
        <v>2016</v>
      </c>
      <c r="D102" s="411">
        <v>979129</v>
      </c>
      <c r="E102" s="412">
        <v>22512</v>
      </c>
      <c r="F102" s="413">
        <v>956617</v>
      </c>
      <c r="G102" s="413">
        <v>967873</v>
      </c>
      <c r="H102" s="412">
        <v>147286.07261026395</v>
      </c>
      <c r="I102" s="414">
        <v>147286.07261026395</v>
      </c>
      <c r="J102" s="54">
        <f t="shared" ref="J102:J154" si="45">+I102-H102</f>
        <v>0</v>
      </c>
      <c r="K102" s="54"/>
      <c r="L102" s="350">
        <f t="shared" si="39"/>
        <v>147286.07261026395</v>
      </c>
      <c r="M102" s="63">
        <f t="shared" si="40"/>
        <v>0</v>
      </c>
      <c r="N102" s="350">
        <f t="shared" si="41"/>
        <v>147286.07261026395</v>
      </c>
      <c r="O102" s="52">
        <f t="shared" si="42"/>
        <v>0</v>
      </c>
      <c r="P102" s="54">
        <f t="shared" si="43"/>
        <v>0</v>
      </c>
    </row>
    <row r="103" spans="1:16">
      <c r="B103" s="7" t="str">
        <f t="shared" si="44"/>
        <v/>
      </c>
      <c r="C103" s="50">
        <f>IF(D93="","-",+C102+1)</f>
        <v>2017</v>
      </c>
      <c r="D103" s="411">
        <v>956617</v>
      </c>
      <c r="E103" s="412">
        <v>22512</v>
      </c>
      <c r="F103" s="413">
        <v>934105</v>
      </c>
      <c r="G103" s="413">
        <v>945361</v>
      </c>
      <c r="H103" s="412">
        <v>142433.42657860837</v>
      </c>
      <c r="I103" s="414">
        <v>142433.42657860837</v>
      </c>
      <c r="J103" s="54">
        <f t="shared" si="45"/>
        <v>0</v>
      </c>
      <c r="K103" s="54"/>
      <c r="L103" s="350">
        <f t="shared" si="39"/>
        <v>142433.42657860837</v>
      </c>
      <c r="M103" s="63">
        <f t="shared" si="40"/>
        <v>0</v>
      </c>
      <c r="N103" s="350">
        <f t="shared" si="41"/>
        <v>142433.42657860837</v>
      </c>
      <c r="O103" s="52">
        <f t="shared" si="42"/>
        <v>0</v>
      </c>
      <c r="P103" s="54">
        <f t="shared" si="43"/>
        <v>0</v>
      </c>
    </row>
    <row r="104" spans="1:16">
      <c r="B104" s="7" t="str">
        <f t="shared" si="44"/>
        <v/>
      </c>
      <c r="C104" s="50">
        <f>IF(D93="","-",+C103+1)</f>
        <v>2018</v>
      </c>
      <c r="D104" s="411">
        <v>934105</v>
      </c>
      <c r="E104" s="412">
        <v>24083</v>
      </c>
      <c r="F104" s="413">
        <v>910022</v>
      </c>
      <c r="G104" s="413">
        <v>922063.5</v>
      </c>
      <c r="H104" s="412">
        <v>118811.71632291189</v>
      </c>
      <c r="I104" s="414">
        <v>118811.71632291189</v>
      </c>
      <c r="J104" s="54">
        <f t="shared" si="45"/>
        <v>0</v>
      </c>
      <c r="K104" s="54"/>
      <c r="L104" s="350">
        <f t="shared" si="39"/>
        <v>118811.71632291189</v>
      </c>
      <c r="M104" s="63">
        <f t="shared" si="40"/>
        <v>0</v>
      </c>
      <c r="N104" s="350">
        <f t="shared" si="41"/>
        <v>118811.71632291189</v>
      </c>
      <c r="O104" s="52">
        <f t="shared" si="42"/>
        <v>0</v>
      </c>
      <c r="P104" s="54">
        <f t="shared" si="43"/>
        <v>0</v>
      </c>
    </row>
    <row r="105" spans="1:16">
      <c r="B105" s="7" t="str">
        <f t="shared" si="44"/>
        <v/>
      </c>
      <c r="C105" s="50">
        <f>IF(D93="","-",+C104+1)</f>
        <v>2019</v>
      </c>
      <c r="D105" s="411">
        <v>910022</v>
      </c>
      <c r="E105" s="412">
        <v>25257</v>
      </c>
      <c r="F105" s="413">
        <v>884765</v>
      </c>
      <c r="G105" s="413">
        <v>897393.5</v>
      </c>
      <c r="H105" s="412">
        <v>117790.85676358812</v>
      </c>
      <c r="I105" s="414">
        <v>117790.85676358812</v>
      </c>
      <c r="J105" s="54">
        <f t="shared" si="45"/>
        <v>0</v>
      </c>
      <c r="K105" s="54"/>
      <c r="L105" s="350">
        <f t="shared" ref="L105" si="46">H105</f>
        <v>117790.85676358812</v>
      </c>
      <c r="M105" s="63">
        <f t="shared" ref="M105" si="47">IF(L105&lt;&gt;0,+H105-L105,0)</f>
        <v>0</v>
      </c>
      <c r="N105" s="350">
        <f t="shared" ref="N105" si="48">I105</f>
        <v>117790.85676358812</v>
      </c>
      <c r="O105" s="54">
        <f t="shared" ref="O105:O130" si="49">IF(N105&lt;&gt;0,+I105-N105,0)</f>
        <v>0</v>
      </c>
      <c r="P105" s="54">
        <f t="shared" ref="P105:P130" si="50">+O105-M105</f>
        <v>0</v>
      </c>
    </row>
    <row r="106" spans="1:16">
      <c r="B106" s="7" t="str">
        <f t="shared" si="44"/>
        <v/>
      </c>
      <c r="C106" s="50">
        <f>IF(D93="","-",+C105+1)</f>
        <v>2020</v>
      </c>
      <c r="D106" s="411">
        <v>884765</v>
      </c>
      <c r="E106" s="412">
        <v>24083</v>
      </c>
      <c r="F106" s="413">
        <v>860682</v>
      </c>
      <c r="G106" s="413">
        <v>872723.5</v>
      </c>
      <c r="H106" s="412">
        <v>124705.62019457563</v>
      </c>
      <c r="I106" s="414">
        <v>124705.62019457563</v>
      </c>
      <c r="J106" s="54">
        <f t="shared" si="45"/>
        <v>0</v>
      </c>
      <c r="K106" s="54"/>
      <c r="L106" s="350">
        <f t="shared" ref="L106" si="51">H106</f>
        <v>124705.62019457563</v>
      </c>
      <c r="M106" s="63">
        <f t="shared" ref="M106" si="52">IF(L106&lt;&gt;0,+H106-L106,0)</f>
        <v>0</v>
      </c>
      <c r="N106" s="350">
        <f t="shared" ref="N106" si="53">I106</f>
        <v>124705.62019457563</v>
      </c>
      <c r="O106" s="54">
        <f t="shared" si="49"/>
        <v>0</v>
      </c>
      <c r="P106" s="54">
        <f t="shared" si="50"/>
        <v>0</v>
      </c>
    </row>
    <row r="107" spans="1:16">
      <c r="B107" s="7" t="str">
        <f t="shared" si="44"/>
        <v/>
      </c>
      <c r="C107" s="50">
        <f>IF(D93="","-",+C106+1)</f>
        <v>2021</v>
      </c>
      <c r="D107" s="411">
        <v>860682</v>
      </c>
      <c r="E107" s="412">
        <v>25257</v>
      </c>
      <c r="F107" s="413">
        <v>835425</v>
      </c>
      <c r="G107" s="413">
        <v>848053.5</v>
      </c>
      <c r="H107" s="412">
        <v>121759.37640510849</v>
      </c>
      <c r="I107" s="414">
        <v>121759.37640510849</v>
      </c>
      <c r="J107" s="54">
        <f t="shared" si="45"/>
        <v>0</v>
      </c>
      <c r="K107" s="54"/>
      <c r="L107" s="350">
        <f t="shared" ref="L107" si="54">H107</f>
        <v>121759.37640510849</v>
      </c>
      <c r="M107" s="63">
        <f t="shared" ref="M107" si="55">IF(L107&lt;&gt;0,+H107-L107,0)</f>
        <v>0</v>
      </c>
      <c r="N107" s="350">
        <f t="shared" ref="N107" si="56">I107</f>
        <v>121759.37640510849</v>
      </c>
      <c r="O107" s="54">
        <f t="shared" si="49"/>
        <v>0</v>
      </c>
      <c r="P107" s="54">
        <f t="shared" si="50"/>
        <v>0</v>
      </c>
    </row>
    <row r="108" spans="1:16">
      <c r="B108" s="7" t="str">
        <f t="shared" si="44"/>
        <v/>
      </c>
      <c r="C108" s="50">
        <f>IF(D93="","-",+C107+1)</f>
        <v>2022</v>
      </c>
      <c r="D108" s="411">
        <v>835425</v>
      </c>
      <c r="E108" s="412">
        <v>26553</v>
      </c>
      <c r="F108" s="413">
        <v>808872</v>
      </c>
      <c r="G108" s="413">
        <v>822148.5</v>
      </c>
      <c r="H108" s="412">
        <v>117139.50278773616</v>
      </c>
      <c r="I108" s="414">
        <v>117139.50278773616</v>
      </c>
      <c r="J108" s="54">
        <f t="shared" si="45"/>
        <v>0</v>
      </c>
      <c r="K108" s="54"/>
      <c r="L108" s="350">
        <f t="shared" ref="L108" si="57">H108</f>
        <v>117139.50278773616</v>
      </c>
      <c r="M108" s="63">
        <f t="shared" ref="M108" si="58">IF(L108&lt;&gt;0,+H108-L108,0)</f>
        <v>0</v>
      </c>
      <c r="N108" s="350">
        <f t="shared" ref="N108" si="59">I108</f>
        <v>117139.50278773616</v>
      </c>
      <c r="O108" s="54">
        <f t="shared" ref="O108" si="60">IF(N108&lt;&gt;0,+I108-N108,0)</f>
        <v>0</v>
      </c>
      <c r="P108" s="54">
        <f t="shared" ref="P108" si="61">+O108-M108</f>
        <v>0</v>
      </c>
    </row>
    <row r="109" spans="1:16">
      <c r="B109" s="7" t="str">
        <f t="shared" si="44"/>
        <v/>
      </c>
      <c r="C109" s="50">
        <f>IF(D93="","-",+C108+1)</f>
        <v>2023</v>
      </c>
      <c r="D109" s="411">
        <v>808872</v>
      </c>
      <c r="E109" s="412">
        <v>27251</v>
      </c>
      <c r="F109" s="413">
        <v>781621</v>
      </c>
      <c r="G109" s="413">
        <v>795246.5</v>
      </c>
      <c r="H109" s="412">
        <v>118089.66414766702</v>
      </c>
      <c r="I109" s="414">
        <v>118089.66414766702</v>
      </c>
      <c r="J109" s="54">
        <f t="shared" si="45"/>
        <v>0</v>
      </c>
      <c r="K109" s="54"/>
      <c r="L109" s="350">
        <f t="shared" ref="L109" si="62">H109</f>
        <v>118089.66414766702</v>
      </c>
      <c r="M109" s="63">
        <f t="shared" ref="M109" si="63">IF(L109&lt;&gt;0,+H109-L109,0)</f>
        <v>0</v>
      </c>
      <c r="N109" s="350">
        <f t="shared" ref="N109" si="64">I109</f>
        <v>118089.66414766702</v>
      </c>
      <c r="O109" s="54">
        <f t="shared" ref="O109" si="65">IF(N109&lt;&gt;0,+I109-N109,0)</f>
        <v>0</v>
      </c>
      <c r="P109" s="54">
        <f t="shared" ref="P109" si="66">+O109-M109</f>
        <v>0</v>
      </c>
    </row>
    <row r="110" spans="1:16">
      <c r="B110" s="7" t="str">
        <f t="shared" si="44"/>
        <v/>
      </c>
      <c r="C110" s="50">
        <f>IF(D93="","-",+C109+1)</f>
        <v>2024</v>
      </c>
      <c r="D110" s="411">
        <v>781621</v>
      </c>
      <c r="E110" s="412">
        <v>27988</v>
      </c>
      <c r="F110" s="413">
        <v>753633</v>
      </c>
      <c r="G110" s="413">
        <v>767627</v>
      </c>
      <c r="H110" s="412">
        <v>131094.66821491977</v>
      </c>
      <c r="I110" s="414">
        <v>131094.66821491977</v>
      </c>
      <c r="J110" s="54">
        <f t="shared" si="45"/>
        <v>0</v>
      </c>
      <c r="K110" s="54"/>
      <c r="L110" s="350">
        <f t="shared" ref="L110" si="67">H110</f>
        <v>131094.66821491977</v>
      </c>
      <c r="M110" s="63">
        <f t="shared" ref="M110" si="68">IF(L110&lt;&gt;0,+H110-L110,0)</f>
        <v>0</v>
      </c>
      <c r="N110" s="350">
        <f t="shared" ref="N110" si="69">I110</f>
        <v>131094.66821491977</v>
      </c>
      <c r="O110" s="54">
        <f t="shared" ref="O110" si="70">IF(N110&lt;&gt;0,+I110-N110,0)</f>
        <v>0</v>
      </c>
      <c r="P110" s="54">
        <f t="shared" ref="P110" si="71">+O110-M110</f>
        <v>0</v>
      </c>
    </row>
    <row r="111" spans="1:16">
      <c r="B111" s="7" t="str">
        <f t="shared" si="44"/>
        <v/>
      </c>
      <c r="C111" s="50">
        <f>IF(D93="","-",+C110+1)</f>
        <v>2025</v>
      </c>
      <c r="D111" s="12">
        <f>IF(F110+SUM(E$99:E110)=D$92,F110,D$92-SUM(E$99:E110))</f>
        <v>753633</v>
      </c>
      <c r="E111" s="354">
        <f t="shared" ref="E111:E154" si="72">IF(+J$96&lt;F110,J$96,D111)</f>
        <v>27988</v>
      </c>
      <c r="F111" s="55">
        <f t="shared" ref="F111:F154" si="73">+D111-E111</f>
        <v>725645</v>
      </c>
      <c r="G111" s="55">
        <f t="shared" ref="G111:G154" si="74">+(F111+D111)/2</f>
        <v>739639</v>
      </c>
      <c r="H111" s="355">
        <f t="shared" ref="H111:H152" si="75">(D111+F111)/2*J$94+E111</f>
        <v>116464.42092285417</v>
      </c>
      <c r="I111" s="381">
        <f t="shared" ref="I111:I152" si="76">+J$95*G111+E111</f>
        <v>116464.42092285417</v>
      </c>
      <c r="J111" s="54">
        <f t="shared" si="45"/>
        <v>0</v>
      </c>
      <c r="K111" s="54"/>
      <c r="L111" s="115"/>
      <c r="M111" s="54">
        <f t="shared" ref="M111:M130" si="77">IF(L111&lt;&gt;0,+H111-L111,0)</f>
        <v>0</v>
      </c>
      <c r="N111" s="115"/>
      <c r="O111" s="54">
        <f t="shared" si="49"/>
        <v>0</v>
      </c>
      <c r="P111" s="54">
        <f t="shared" si="50"/>
        <v>0</v>
      </c>
    </row>
    <row r="112" spans="1:16">
      <c r="B112" s="7" t="str">
        <f t="shared" si="44"/>
        <v/>
      </c>
      <c r="C112" s="50">
        <f>IF(D93="","-",+C111+1)</f>
        <v>2026</v>
      </c>
      <c r="D112" s="12">
        <f>IF(F111+SUM(E$99:E111)=D$92,F111,D$92-SUM(E$99:E111))</f>
        <v>725645</v>
      </c>
      <c r="E112" s="354">
        <f t="shared" si="72"/>
        <v>27988</v>
      </c>
      <c r="F112" s="55">
        <f t="shared" si="73"/>
        <v>697657</v>
      </c>
      <c r="G112" s="55">
        <f t="shared" si="74"/>
        <v>711651</v>
      </c>
      <c r="H112" s="355">
        <f t="shared" si="75"/>
        <v>113116.46594915912</v>
      </c>
      <c r="I112" s="381">
        <f t="shared" si="76"/>
        <v>113116.46594915912</v>
      </c>
      <c r="J112" s="54">
        <f t="shared" si="45"/>
        <v>0</v>
      </c>
      <c r="K112" s="54"/>
      <c r="L112" s="115"/>
      <c r="M112" s="54">
        <f t="shared" si="77"/>
        <v>0</v>
      </c>
      <c r="N112" s="115"/>
      <c r="O112" s="54">
        <f t="shared" si="49"/>
        <v>0</v>
      </c>
      <c r="P112" s="54">
        <f t="shared" si="50"/>
        <v>0</v>
      </c>
    </row>
    <row r="113" spans="2:16">
      <c r="B113" s="7" t="str">
        <f t="shared" si="44"/>
        <v/>
      </c>
      <c r="C113" s="50">
        <f>IF(D93="","-",+C112+1)</f>
        <v>2027</v>
      </c>
      <c r="D113" s="12">
        <f>IF(F112+SUM(E$99:E112)=D$92,F112,D$92-SUM(E$99:E112))</f>
        <v>697657</v>
      </c>
      <c r="E113" s="354">
        <f t="shared" si="72"/>
        <v>27988</v>
      </c>
      <c r="F113" s="55">
        <f t="shared" si="73"/>
        <v>669669</v>
      </c>
      <c r="G113" s="55">
        <f t="shared" si="74"/>
        <v>683663</v>
      </c>
      <c r="H113" s="355">
        <f t="shared" si="75"/>
        <v>109768.51097546404</v>
      </c>
      <c r="I113" s="381">
        <f t="shared" si="76"/>
        <v>109768.51097546404</v>
      </c>
      <c r="J113" s="54">
        <f t="shared" si="45"/>
        <v>0</v>
      </c>
      <c r="K113" s="54"/>
      <c r="L113" s="115"/>
      <c r="M113" s="54">
        <f t="shared" si="77"/>
        <v>0</v>
      </c>
      <c r="N113" s="115"/>
      <c r="O113" s="54">
        <f t="shared" si="49"/>
        <v>0</v>
      </c>
      <c r="P113" s="54">
        <f t="shared" si="50"/>
        <v>0</v>
      </c>
    </row>
    <row r="114" spans="2:16">
      <c r="B114" s="7" t="str">
        <f t="shared" si="44"/>
        <v/>
      </c>
      <c r="C114" s="50">
        <f>IF(D93="","-",+C113+1)</f>
        <v>2028</v>
      </c>
      <c r="D114" s="12">
        <f>IF(F113+SUM(E$99:E113)=D$92,F113,D$92-SUM(E$99:E113))</f>
        <v>669669</v>
      </c>
      <c r="E114" s="354">
        <f t="shared" si="72"/>
        <v>27988</v>
      </c>
      <c r="F114" s="55">
        <f t="shared" si="73"/>
        <v>641681</v>
      </c>
      <c r="G114" s="55">
        <f t="shared" si="74"/>
        <v>655675</v>
      </c>
      <c r="H114" s="355">
        <f t="shared" si="75"/>
        <v>106420.55600176899</v>
      </c>
      <c r="I114" s="381">
        <f t="shared" si="76"/>
        <v>106420.55600176899</v>
      </c>
      <c r="J114" s="54">
        <f t="shared" si="45"/>
        <v>0</v>
      </c>
      <c r="K114" s="54"/>
      <c r="L114" s="115"/>
      <c r="M114" s="54">
        <f t="shared" si="77"/>
        <v>0</v>
      </c>
      <c r="N114" s="115"/>
      <c r="O114" s="54">
        <f t="shared" si="49"/>
        <v>0</v>
      </c>
      <c r="P114" s="54">
        <f t="shared" si="50"/>
        <v>0</v>
      </c>
    </row>
    <row r="115" spans="2:16">
      <c r="B115" s="7" t="str">
        <f t="shared" si="44"/>
        <v/>
      </c>
      <c r="C115" s="50">
        <f>IF(D93="","-",+C114+1)</f>
        <v>2029</v>
      </c>
      <c r="D115" s="12">
        <f>IF(F114+SUM(E$99:E114)=D$92,F114,D$92-SUM(E$99:E114))</f>
        <v>641681</v>
      </c>
      <c r="E115" s="354">
        <f t="shared" si="72"/>
        <v>27988</v>
      </c>
      <c r="F115" s="55">
        <f t="shared" si="73"/>
        <v>613693</v>
      </c>
      <c r="G115" s="55">
        <f t="shared" si="74"/>
        <v>627687</v>
      </c>
      <c r="H115" s="355">
        <f t="shared" si="75"/>
        <v>103072.60102807393</v>
      </c>
      <c r="I115" s="381">
        <f t="shared" si="76"/>
        <v>103072.60102807393</v>
      </c>
      <c r="J115" s="54">
        <f t="shared" si="45"/>
        <v>0</v>
      </c>
      <c r="K115" s="54"/>
      <c r="L115" s="115"/>
      <c r="M115" s="54">
        <f t="shared" si="77"/>
        <v>0</v>
      </c>
      <c r="N115" s="115"/>
      <c r="O115" s="54">
        <f t="shared" si="49"/>
        <v>0</v>
      </c>
      <c r="P115" s="54">
        <f t="shared" si="50"/>
        <v>0</v>
      </c>
    </row>
    <row r="116" spans="2:16">
      <c r="B116" s="7" t="str">
        <f t="shared" si="44"/>
        <v/>
      </c>
      <c r="C116" s="50">
        <f>IF(D93="","-",+C115+1)</f>
        <v>2030</v>
      </c>
      <c r="D116" s="12">
        <f>IF(F115+SUM(E$99:E115)=D$92,F115,D$92-SUM(E$99:E115))</f>
        <v>613693</v>
      </c>
      <c r="E116" s="354">
        <f t="shared" si="72"/>
        <v>27988</v>
      </c>
      <c r="F116" s="55">
        <f t="shared" si="73"/>
        <v>585705</v>
      </c>
      <c r="G116" s="55">
        <f t="shared" si="74"/>
        <v>599699</v>
      </c>
      <c r="H116" s="355">
        <f t="shared" si="75"/>
        <v>99724.646054378856</v>
      </c>
      <c r="I116" s="381">
        <f t="shared" si="76"/>
        <v>99724.646054378856</v>
      </c>
      <c r="J116" s="54">
        <f t="shared" si="45"/>
        <v>0</v>
      </c>
      <c r="K116" s="54"/>
      <c r="L116" s="115"/>
      <c r="M116" s="54">
        <f t="shared" si="77"/>
        <v>0</v>
      </c>
      <c r="N116" s="115"/>
      <c r="O116" s="54">
        <f t="shared" si="49"/>
        <v>0</v>
      </c>
      <c r="P116" s="54">
        <f t="shared" si="50"/>
        <v>0</v>
      </c>
    </row>
    <row r="117" spans="2:16">
      <c r="B117" s="7" t="str">
        <f t="shared" si="44"/>
        <v/>
      </c>
      <c r="C117" s="50">
        <f>IF(D93="","-",+C116+1)</f>
        <v>2031</v>
      </c>
      <c r="D117" s="12">
        <f>IF(F116+SUM(E$99:E116)=D$92,F116,D$92-SUM(E$99:E116))</f>
        <v>585705</v>
      </c>
      <c r="E117" s="354">
        <f t="shared" si="72"/>
        <v>27988</v>
      </c>
      <c r="F117" s="55">
        <f t="shared" si="73"/>
        <v>557717</v>
      </c>
      <c r="G117" s="55">
        <f t="shared" si="74"/>
        <v>571711</v>
      </c>
      <c r="H117" s="355">
        <f t="shared" si="75"/>
        <v>96376.691080683799</v>
      </c>
      <c r="I117" s="381">
        <f t="shared" si="76"/>
        <v>96376.691080683799</v>
      </c>
      <c r="J117" s="54">
        <f t="shared" si="45"/>
        <v>0</v>
      </c>
      <c r="K117" s="54"/>
      <c r="L117" s="115"/>
      <c r="M117" s="54">
        <f t="shared" si="77"/>
        <v>0</v>
      </c>
      <c r="N117" s="115"/>
      <c r="O117" s="54">
        <f t="shared" si="49"/>
        <v>0</v>
      </c>
      <c r="P117" s="54">
        <f t="shared" si="50"/>
        <v>0</v>
      </c>
    </row>
    <row r="118" spans="2:16">
      <c r="B118" s="7" t="str">
        <f t="shared" si="44"/>
        <v/>
      </c>
      <c r="C118" s="50">
        <f>IF(D93="","-",+C117+1)</f>
        <v>2032</v>
      </c>
      <c r="D118" s="12">
        <f>IF(F117+SUM(E$99:E117)=D$92,F117,D$92-SUM(E$99:E117))</f>
        <v>557717</v>
      </c>
      <c r="E118" s="354">
        <f t="shared" si="72"/>
        <v>27988</v>
      </c>
      <c r="F118" s="55">
        <f t="shared" si="73"/>
        <v>529729</v>
      </c>
      <c r="G118" s="55">
        <f t="shared" si="74"/>
        <v>543723</v>
      </c>
      <c r="H118" s="355">
        <f t="shared" si="75"/>
        <v>93028.736106988741</v>
      </c>
      <c r="I118" s="381">
        <f t="shared" si="76"/>
        <v>93028.736106988741</v>
      </c>
      <c r="J118" s="54">
        <f t="shared" si="45"/>
        <v>0</v>
      </c>
      <c r="K118" s="54"/>
      <c r="L118" s="115"/>
      <c r="M118" s="54">
        <f t="shared" si="77"/>
        <v>0</v>
      </c>
      <c r="N118" s="115"/>
      <c r="O118" s="54">
        <f t="shared" si="49"/>
        <v>0</v>
      </c>
      <c r="P118" s="54">
        <f t="shared" si="50"/>
        <v>0</v>
      </c>
    </row>
    <row r="119" spans="2:16">
      <c r="B119" s="7" t="str">
        <f t="shared" si="44"/>
        <v/>
      </c>
      <c r="C119" s="50">
        <f>IF(D93="","-",+C118+1)</f>
        <v>2033</v>
      </c>
      <c r="D119" s="12">
        <f>IF(F118+SUM(E$99:E118)=D$92,F118,D$92-SUM(E$99:E118))</f>
        <v>529729</v>
      </c>
      <c r="E119" s="354">
        <f t="shared" si="72"/>
        <v>27988</v>
      </c>
      <c r="F119" s="55">
        <f t="shared" si="73"/>
        <v>501741</v>
      </c>
      <c r="G119" s="55">
        <f t="shared" si="74"/>
        <v>515735</v>
      </c>
      <c r="H119" s="355">
        <f t="shared" si="75"/>
        <v>89680.781133293669</v>
      </c>
      <c r="I119" s="381">
        <f t="shared" si="76"/>
        <v>89680.781133293669</v>
      </c>
      <c r="J119" s="54">
        <f t="shared" si="45"/>
        <v>0</v>
      </c>
      <c r="K119" s="54"/>
      <c r="L119" s="115"/>
      <c r="M119" s="54">
        <f t="shared" si="77"/>
        <v>0</v>
      </c>
      <c r="N119" s="115"/>
      <c r="O119" s="54">
        <f t="shared" si="49"/>
        <v>0</v>
      </c>
      <c r="P119" s="54">
        <f t="shared" si="50"/>
        <v>0</v>
      </c>
    </row>
    <row r="120" spans="2:16">
      <c r="B120" s="7" t="str">
        <f t="shared" si="44"/>
        <v/>
      </c>
      <c r="C120" s="50">
        <f>IF(D93="","-",+C119+1)</f>
        <v>2034</v>
      </c>
      <c r="D120" s="12">
        <f>IF(F119+SUM(E$99:E119)=D$92,F119,D$92-SUM(E$99:E119))</f>
        <v>501741</v>
      </c>
      <c r="E120" s="354">
        <f t="shared" si="72"/>
        <v>27988</v>
      </c>
      <c r="F120" s="55">
        <f t="shared" si="73"/>
        <v>473753</v>
      </c>
      <c r="G120" s="55">
        <f t="shared" si="74"/>
        <v>487747</v>
      </c>
      <c r="H120" s="355">
        <f t="shared" si="75"/>
        <v>86332.826159598597</v>
      </c>
      <c r="I120" s="381">
        <f t="shared" si="76"/>
        <v>86332.826159598597</v>
      </c>
      <c r="J120" s="54">
        <f t="shared" si="45"/>
        <v>0</v>
      </c>
      <c r="K120" s="54"/>
      <c r="L120" s="115"/>
      <c r="M120" s="54">
        <f t="shared" si="77"/>
        <v>0</v>
      </c>
      <c r="N120" s="115"/>
      <c r="O120" s="54">
        <f t="shared" si="49"/>
        <v>0</v>
      </c>
      <c r="P120" s="54">
        <f t="shared" si="50"/>
        <v>0</v>
      </c>
    </row>
    <row r="121" spans="2:16">
      <c r="B121" s="7" t="str">
        <f t="shared" si="44"/>
        <v/>
      </c>
      <c r="C121" s="50">
        <f>IF(D93="","-",+C120+1)</f>
        <v>2035</v>
      </c>
      <c r="D121" s="12">
        <f>IF(F120+SUM(E$99:E120)=D$92,F120,D$92-SUM(E$99:E120))</f>
        <v>473753</v>
      </c>
      <c r="E121" s="354">
        <f t="shared" si="72"/>
        <v>27988</v>
      </c>
      <c r="F121" s="55">
        <f t="shared" si="73"/>
        <v>445765</v>
      </c>
      <c r="G121" s="55">
        <f t="shared" si="74"/>
        <v>459759</v>
      </c>
      <c r="H121" s="355">
        <f t="shared" si="75"/>
        <v>82984.871185903554</v>
      </c>
      <c r="I121" s="381">
        <f t="shared" si="76"/>
        <v>82984.871185903554</v>
      </c>
      <c r="J121" s="54">
        <f t="shared" si="45"/>
        <v>0</v>
      </c>
      <c r="K121" s="54"/>
      <c r="L121" s="115"/>
      <c r="M121" s="54">
        <f t="shared" si="77"/>
        <v>0</v>
      </c>
      <c r="N121" s="115"/>
      <c r="O121" s="54">
        <f t="shared" si="49"/>
        <v>0</v>
      </c>
      <c r="P121" s="54">
        <f t="shared" si="50"/>
        <v>0</v>
      </c>
    </row>
    <row r="122" spans="2:16">
      <c r="B122" s="7" t="str">
        <f t="shared" si="44"/>
        <v/>
      </c>
      <c r="C122" s="50">
        <f>IF(D93="","-",+C121+1)</f>
        <v>2036</v>
      </c>
      <c r="D122" s="12">
        <f>IF(F121+SUM(E$99:E121)=D$92,F121,D$92-SUM(E$99:E121))</f>
        <v>445765</v>
      </c>
      <c r="E122" s="354">
        <f t="shared" si="72"/>
        <v>27988</v>
      </c>
      <c r="F122" s="55">
        <f t="shared" si="73"/>
        <v>417777</v>
      </c>
      <c r="G122" s="55">
        <f t="shared" si="74"/>
        <v>431771</v>
      </c>
      <c r="H122" s="355">
        <f t="shared" si="75"/>
        <v>79636.916212208482</v>
      </c>
      <c r="I122" s="381">
        <f t="shared" si="76"/>
        <v>79636.916212208482</v>
      </c>
      <c r="J122" s="54">
        <f t="shared" si="45"/>
        <v>0</v>
      </c>
      <c r="K122" s="54"/>
      <c r="L122" s="115"/>
      <c r="M122" s="54">
        <f t="shared" si="77"/>
        <v>0</v>
      </c>
      <c r="N122" s="115"/>
      <c r="O122" s="54">
        <f t="shared" si="49"/>
        <v>0</v>
      </c>
      <c r="P122" s="54">
        <f t="shared" si="50"/>
        <v>0</v>
      </c>
    </row>
    <row r="123" spans="2:16">
      <c r="B123" s="7" t="str">
        <f t="shared" si="44"/>
        <v/>
      </c>
      <c r="C123" s="50">
        <f>IF(D93="","-",+C122+1)</f>
        <v>2037</v>
      </c>
      <c r="D123" s="12">
        <f>IF(F122+SUM(E$99:E122)=D$92,F122,D$92-SUM(E$99:E122))</f>
        <v>417777</v>
      </c>
      <c r="E123" s="354">
        <f t="shared" si="72"/>
        <v>27988</v>
      </c>
      <c r="F123" s="55">
        <f t="shared" si="73"/>
        <v>389789</v>
      </c>
      <c r="G123" s="55">
        <f t="shared" si="74"/>
        <v>403783</v>
      </c>
      <c r="H123" s="355">
        <f t="shared" si="75"/>
        <v>76288.96123851341</v>
      </c>
      <c r="I123" s="381">
        <f t="shared" si="76"/>
        <v>76288.96123851341</v>
      </c>
      <c r="J123" s="54">
        <f t="shared" si="45"/>
        <v>0</v>
      </c>
      <c r="K123" s="54"/>
      <c r="L123" s="115"/>
      <c r="M123" s="54">
        <f t="shared" si="77"/>
        <v>0</v>
      </c>
      <c r="N123" s="115"/>
      <c r="O123" s="54">
        <f t="shared" si="49"/>
        <v>0</v>
      </c>
      <c r="P123" s="54">
        <f t="shared" si="50"/>
        <v>0</v>
      </c>
    </row>
    <row r="124" spans="2:16">
      <c r="B124" s="7" t="str">
        <f t="shared" si="44"/>
        <v/>
      </c>
      <c r="C124" s="50">
        <f>IF(D93="","-",+C123+1)</f>
        <v>2038</v>
      </c>
      <c r="D124" s="12">
        <f>IF(F123+SUM(E$99:E123)=D$92,F123,D$92-SUM(E$99:E123))</f>
        <v>389789</v>
      </c>
      <c r="E124" s="354">
        <f t="shared" si="72"/>
        <v>27988</v>
      </c>
      <c r="F124" s="55">
        <f t="shared" si="73"/>
        <v>361801</v>
      </c>
      <c r="G124" s="55">
        <f t="shared" si="74"/>
        <v>375795</v>
      </c>
      <c r="H124" s="355">
        <f t="shared" si="75"/>
        <v>72941.006264818367</v>
      </c>
      <c r="I124" s="381">
        <f t="shared" si="76"/>
        <v>72941.006264818367</v>
      </c>
      <c r="J124" s="54">
        <f t="shared" si="45"/>
        <v>0</v>
      </c>
      <c r="K124" s="54"/>
      <c r="L124" s="115"/>
      <c r="M124" s="54">
        <f t="shared" si="77"/>
        <v>0</v>
      </c>
      <c r="N124" s="115"/>
      <c r="O124" s="54">
        <f t="shared" si="49"/>
        <v>0</v>
      </c>
      <c r="P124" s="54">
        <f t="shared" si="50"/>
        <v>0</v>
      </c>
    </row>
    <row r="125" spans="2:16">
      <c r="B125" s="7" t="str">
        <f t="shared" si="44"/>
        <v/>
      </c>
      <c r="C125" s="50">
        <f>IF(D93="","-",+C124+1)</f>
        <v>2039</v>
      </c>
      <c r="D125" s="12">
        <f>IF(F124+SUM(E$99:E124)=D$92,F124,D$92-SUM(E$99:E124))</f>
        <v>361801</v>
      </c>
      <c r="E125" s="354">
        <f t="shared" si="72"/>
        <v>27988</v>
      </c>
      <c r="F125" s="55">
        <f t="shared" si="73"/>
        <v>333813</v>
      </c>
      <c r="G125" s="55">
        <f t="shared" si="74"/>
        <v>347807</v>
      </c>
      <c r="H125" s="355">
        <f t="shared" si="75"/>
        <v>69593.051291123295</v>
      </c>
      <c r="I125" s="381">
        <f t="shared" si="76"/>
        <v>69593.051291123295</v>
      </c>
      <c r="J125" s="54">
        <f t="shared" si="45"/>
        <v>0</v>
      </c>
      <c r="K125" s="54"/>
      <c r="L125" s="115"/>
      <c r="M125" s="54">
        <f t="shared" si="77"/>
        <v>0</v>
      </c>
      <c r="N125" s="115"/>
      <c r="O125" s="54">
        <f t="shared" si="49"/>
        <v>0</v>
      </c>
      <c r="P125" s="54">
        <f t="shared" si="50"/>
        <v>0</v>
      </c>
    </row>
    <row r="126" spans="2:16">
      <c r="B126" s="7" t="str">
        <f t="shared" si="44"/>
        <v/>
      </c>
      <c r="C126" s="50">
        <f>IF(D93="","-",+C125+1)</f>
        <v>2040</v>
      </c>
      <c r="D126" s="12">
        <f>IF(F125+SUM(E$99:E125)=D$92,F125,D$92-SUM(E$99:E125))</f>
        <v>333813</v>
      </c>
      <c r="E126" s="354">
        <f t="shared" si="72"/>
        <v>27988</v>
      </c>
      <c r="F126" s="55">
        <f t="shared" si="73"/>
        <v>305825</v>
      </c>
      <c r="G126" s="55">
        <f t="shared" si="74"/>
        <v>319819</v>
      </c>
      <c r="H126" s="355">
        <f t="shared" si="75"/>
        <v>66245.096317428222</v>
      </c>
      <c r="I126" s="381">
        <f t="shared" si="76"/>
        <v>66245.096317428222</v>
      </c>
      <c r="J126" s="54">
        <f t="shared" si="45"/>
        <v>0</v>
      </c>
      <c r="K126" s="54"/>
      <c r="L126" s="115"/>
      <c r="M126" s="54">
        <f t="shared" si="77"/>
        <v>0</v>
      </c>
      <c r="N126" s="115"/>
      <c r="O126" s="54">
        <f t="shared" si="49"/>
        <v>0</v>
      </c>
      <c r="P126" s="54">
        <f t="shared" si="50"/>
        <v>0</v>
      </c>
    </row>
    <row r="127" spans="2:16">
      <c r="B127" s="7" t="str">
        <f t="shared" si="44"/>
        <v/>
      </c>
      <c r="C127" s="50">
        <f>IF(D93="","-",+C126+1)</f>
        <v>2041</v>
      </c>
      <c r="D127" s="12">
        <f>IF(F126+SUM(E$99:E126)=D$92,F126,D$92-SUM(E$99:E126))</f>
        <v>305825</v>
      </c>
      <c r="E127" s="354">
        <f t="shared" si="72"/>
        <v>27988</v>
      </c>
      <c r="F127" s="55">
        <f t="shared" si="73"/>
        <v>277837</v>
      </c>
      <c r="G127" s="55">
        <f t="shared" si="74"/>
        <v>291831</v>
      </c>
      <c r="H127" s="355">
        <f t="shared" si="75"/>
        <v>62897.141343733165</v>
      </c>
      <c r="I127" s="381">
        <f t="shared" si="76"/>
        <v>62897.141343733165</v>
      </c>
      <c r="J127" s="54">
        <f t="shared" si="45"/>
        <v>0</v>
      </c>
      <c r="K127" s="54"/>
      <c r="L127" s="115"/>
      <c r="M127" s="54">
        <f t="shared" si="77"/>
        <v>0</v>
      </c>
      <c r="N127" s="115"/>
      <c r="O127" s="54">
        <f t="shared" si="49"/>
        <v>0</v>
      </c>
      <c r="P127" s="54">
        <f t="shared" si="50"/>
        <v>0</v>
      </c>
    </row>
    <row r="128" spans="2:16">
      <c r="B128" s="7" t="str">
        <f t="shared" si="44"/>
        <v/>
      </c>
      <c r="C128" s="50">
        <f>IF(D93="","-",+C127+1)</f>
        <v>2042</v>
      </c>
      <c r="D128" s="12">
        <f>IF(F127+SUM(E$99:E127)=D$92,F127,D$92-SUM(E$99:E127))</f>
        <v>277837</v>
      </c>
      <c r="E128" s="354">
        <f t="shared" si="72"/>
        <v>27988</v>
      </c>
      <c r="F128" s="55">
        <f t="shared" si="73"/>
        <v>249849</v>
      </c>
      <c r="G128" s="55">
        <f t="shared" si="74"/>
        <v>263843</v>
      </c>
      <c r="H128" s="355">
        <f t="shared" si="75"/>
        <v>59549.186370038107</v>
      </c>
      <c r="I128" s="381">
        <f t="shared" si="76"/>
        <v>59549.186370038107</v>
      </c>
      <c r="J128" s="54">
        <f t="shared" si="45"/>
        <v>0</v>
      </c>
      <c r="K128" s="54"/>
      <c r="L128" s="115"/>
      <c r="M128" s="54">
        <f t="shared" si="77"/>
        <v>0</v>
      </c>
      <c r="N128" s="115"/>
      <c r="O128" s="54">
        <f t="shared" si="49"/>
        <v>0</v>
      </c>
      <c r="P128" s="54">
        <f t="shared" si="50"/>
        <v>0</v>
      </c>
    </row>
    <row r="129" spans="2:16">
      <c r="B129" s="7" t="str">
        <f t="shared" si="44"/>
        <v/>
      </c>
      <c r="C129" s="50">
        <f>IF(D93="","-",+C128+1)</f>
        <v>2043</v>
      </c>
      <c r="D129" s="12">
        <f>IF(F128+SUM(E$99:E128)=D$92,F128,D$92-SUM(E$99:E128))</f>
        <v>249849</v>
      </c>
      <c r="E129" s="354">
        <f t="shared" si="72"/>
        <v>27988</v>
      </c>
      <c r="F129" s="55">
        <f t="shared" si="73"/>
        <v>221861</v>
      </c>
      <c r="G129" s="55">
        <f t="shared" si="74"/>
        <v>235855</v>
      </c>
      <c r="H129" s="355">
        <f t="shared" si="75"/>
        <v>56201.231396343042</v>
      </c>
      <c r="I129" s="381">
        <f t="shared" si="76"/>
        <v>56201.231396343042</v>
      </c>
      <c r="J129" s="54">
        <f t="shared" si="45"/>
        <v>0</v>
      </c>
      <c r="K129" s="54"/>
      <c r="L129" s="115"/>
      <c r="M129" s="54">
        <f t="shared" si="77"/>
        <v>0</v>
      </c>
      <c r="N129" s="115"/>
      <c r="O129" s="54">
        <f t="shared" si="49"/>
        <v>0</v>
      </c>
      <c r="P129" s="54">
        <f t="shared" si="50"/>
        <v>0</v>
      </c>
    </row>
    <row r="130" spans="2:16">
      <c r="B130" s="7" t="str">
        <f t="shared" si="44"/>
        <v/>
      </c>
      <c r="C130" s="50">
        <f>IF(D93="","-",+C129+1)</f>
        <v>2044</v>
      </c>
      <c r="D130" s="12">
        <f>IF(F129+SUM(E$99:E129)=D$92,F129,D$92-SUM(E$99:E129))</f>
        <v>221861</v>
      </c>
      <c r="E130" s="354">
        <f t="shared" si="72"/>
        <v>27988</v>
      </c>
      <c r="F130" s="55">
        <f t="shared" si="73"/>
        <v>193873</v>
      </c>
      <c r="G130" s="55">
        <f t="shared" si="74"/>
        <v>207867</v>
      </c>
      <c r="H130" s="355">
        <f t="shared" si="75"/>
        <v>52853.276422647978</v>
      </c>
      <c r="I130" s="381">
        <f t="shared" si="76"/>
        <v>52853.276422647978</v>
      </c>
      <c r="J130" s="54">
        <f t="shared" si="45"/>
        <v>0</v>
      </c>
      <c r="K130" s="54"/>
      <c r="L130" s="115"/>
      <c r="M130" s="54">
        <f t="shared" si="77"/>
        <v>0</v>
      </c>
      <c r="N130" s="115"/>
      <c r="O130" s="54">
        <f t="shared" si="49"/>
        <v>0</v>
      </c>
      <c r="P130" s="54">
        <f t="shared" si="50"/>
        <v>0</v>
      </c>
    </row>
    <row r="131" spans="2:16">
      <c r="B131" s="7" t="str">
        <f t="shared" si="44"/>
        <v/>
      </c>
      <c r="C131" s="50">
        <f>IF(D93="","-",+C130+1)</f>
        <v>2045</v>
      </c>
      <c r="D131" s="12">
        <f>IF(F130+SUM(E$99:E130)=D$92,F130,D$92-SUM(E$99:E130))</f>
        <v>193873</v>
      </c>
      <c r="E131" s="354">
        <f t="shared" si="72"/>
        <v>27988</v>
      </c>
      <c r="F131" s="55">
        <f t="shared" si="73"/>
        <v>165885</v>
      </c>
      <c r="G131" s="55">
        <f t="shared" si="74"/>
        <v>179879</v>
      </c>
      <c r="H131" s="355">
        <f t="shared" si="75"/>
        <v>49505.32144895292</v>
      </c>
      <c r="I131" s="381">
        <f t="shared" si="76"/>
        <v>49505.32144895292</v>
      </c>
      <c r="J131" s="54">
        <f t="shared" si="45"/>
        <v>0</v>
      </c>
      <c r="K131" s="54"/>
      <c r="L131" s="115"/>
      <c r="M131" s="54">
        <f t="shared" ref="M131:M154" si="78">IF(L541&lt;&gt;0,+H541-L541,0)</f>
        <v>0</v>
      </c>
      <c r="N131" s="115"/>
      <c r="O131" s="54">
        <f t="shared" ref="O131:O154" si="79">IF(N541&lt;&gt;0,+I541-N541,0)</f>
        <v>0</v>
      </c>
      <c r="P131" s="54">
        <f t="shared" ref="P131:P154" si="80">+O541-M541</f>
        <v>0</v>
      </c>
    </row>
    <row r="132" spans="2:16">
      <c r="B132" s="7" t="str">
        <f t="shared" si="44"/>
        <v/>
      </c>
      <c r="C132" s="50">
        <f>IF(D93="","-",+C131+1)</f>
        <v>2046</v>
      </c>
      <c r="D132" s="12">
        <f>IF(F131+SUM(E$99:E131)=D$92,F131,D$92-SUM(E$99:E131))</f>
        <v>165885</v>
      </c>
      <c r="E132" s="354">
        <f t="shared" si="72"/>
        <v>27988</v>
      </c>
      <c r="F132" s="55">
        <f t="shared" si="73"/>
        <v>137897</v>
      </c>
      <c r="G132" s="55">
        <f t="shared" si="74"/>
        <v>151891</v>
      </c>
      <c r="H132" s="355">
        <f t="shared" si="75"/>
        <v>46157.366475257848</v>
      </c>
      <c r="I132" s="381">
        <f t="shared" si="76"/>
        <v>46157.366475257848</v>
      </c>
      <c r="J132" s="54">
        <f t="shared" si="45"/>
        <v>0</v>
      </c>
      <c r="K132" s="54"/>
      <c r="L132" s="115"/>
      <c r="M132" s="54">
        <f t="shared" si="78"/>
        <v>0</v>
      </c>
      <c r="N132" s="115"/>
      <c r="O132" s="54">
        <f t="shared" si="79"/>
        <v>0</v>
      </c>
      <c r="P132" s="54">
        <f t="shared" si="80"/>
        <v>0</v>
      </c>
    </row>
    <row r="133" spans="2:16">
      <c r="B133" s="7" t="str">
        <f t="shared" si="44"/>
        <v/>
      </c>
      <c r="C133" s="50">
        <f>IF(D93="","-",+C132+1)</f>
        <v>2047</v>
      </c>
      <c r="D133" s="12">
        <f>IF(F132+SUM(E$99:E132)=D$92,F132,D$92-SUM(E$99:E132))</f>
        <v>137897</v>
      </c>
      <c r="E133" s="354">
        <f t="shared" si="72"/>
        <v>27988</v>
      </c>
      <c r="F133" s="55">
        <f t="shared" si="73"/>
        <v>109909</v>
      </c>
      <c r="G133" s="55">
        <f t="shared" si="74"/>
        <v>123903</v>
      </c>
      <c r="H133" s="355">
        <f t="shared" si="75"/>
        <v>42809.41150156279</v>
      </c>
      <c r="I133" s="381">
        <f t="shared" si="76"/>
        <v>42809.41150156279</v>
      </c>
      <c r="J133" s="54">
        <f t="shared" si="45"/>
        <v>0</v>
      </c>
      <c r="K133" s="54"/>
      <c r="L133" s="115"/>
      <c r="M133" s="54">
        <f t="shared" si="78"/>
        <v>0</v>
      </c>
      <c r="N133" s="115"/>
      <c r="O133" s="54">
        <f t="shared" si="79"/>
        <v>0</v>
      </c>
      <c r="P133" s="54">
        <f t="shared" si="80"/>
        <v>0</v>
      </c>
    </row>
    <row r="134" spans="2:16">
      <c r="B134" s="7" t="str">
        <f t="shared" si="44"/>
        <v/>
      </c>
      <c r="C134" s="50">
        <f>IF(D93="","-",+C133+1)</f>
        <v>2048</v>
      </c>
      <c r="D134" s="12">
        <f>IF(F133+SUM(E$99:E133)=D$92,F133,D$92-SUM(E$99:E133))</f>
        <v>109909</v>
      </c>
      <c r="E134" s="354">
        <f t="shared" si="72"/>
        <v>27988</v>
      </c>
      <c r="F134" s="55">
        <f t="shared" si="73"/>
        <v>81921</v>
      </c>
      <c r="G134" s="55">
        <f t="shared" si="74"/>
        <v>95915</v>
      </c>
      <c r="H134" s="355">
        <f t="shared" si="75"/>
        <v>39461.456527867726</v>
      </c>
      <c r="I134" s="381">
        <f t="shared" si="76"/>
        <v>39461.456527867726</v>
      </c>
      <c r="J134" s="54">
        <f t="shared" si="45"/>
        <v>0</v>
      </c>
      <c r="K134" s="54"/>
      <c r="L134" s="115"/>
      <c r="M134" s="54">
        <f t="shared" si="78"/>
        <v>0</v>
      </c>
      <c r="N134" s="115"/>
      <c r="O134" s="54">
        <f t="shared" si="79"/>
        <v>0</v>
      </c>
      <c r="P134" s="54">
        <f t="shared" si="80"/>
        <v>0</v>
      </c>
    </row>
    <row r="135" spans="2:16">
      <c r="B135" s="7" t="str">
        <f t="shared" si="44"/>
        <v/>
      </c>
      <c r="C135" s="50">
        <f>IF(D93="","-",+C134+1)</f>
        <v>2049</v>
      </c>
      <c r="D135" s="12">
        <f>IF(F134+SUM(E$99:E134)=D$92,F134,D$92-SUM(E$99:E134))</f>
        <v>81921</v>
      </c>
      <c r="E135" s="354">
        <f t="shared" si="72"/>
        <v>27988</v>
      </c>
      <c r="F135" s="55">
        <f t="shared" si="73"/>
        <v>53933</v>
      </c>
      <c r="G135" s="55">
        <f t="shared" si="74"/>
        <v>67927</v>
      </c>
      <c r="H135" s="355">
        <f t="shared" si="75"/>
        <v>36113.501554172661</v>
      </c>
      <c r="I135" s="381">
        <f t="shared" si="76"/>
        <v>36113.501554172661</v>
      </c>
      <c r="J135" s="54">
        <f t="shared" si="45"/>
        <v>0</v>
      </c>
      <c r="K135" s="54"/>
      <c r="L135" s="115"/>
      <c r="M135" s="54">
        <f t="shared" si="78"/>
        <v>0</v>
      </c>
      <c r="N135" s="115"/>
      <c r="O135" s="54">
        <f t="shared" si="79"/>
        <v>0</v>
      </c>
      <c r="P135" s="54">
        <f t="shared" si="80"/>
        <v>0</v>
      </c>
    </row>
    <row r="136" spans="2:16">
      <c r="B136" s="7" t="str">
        <f t="shared" si="44"/>
        <v/>
      </c>
      <c r="C136" s="50">
        <f>IF(D93="","-",+C135+1)</f>
        <v>2050</v>
      </c>
      <c r="D136" s="12">
        <f>IF(F135+SUM(E$99:E135)=D$92,F135,D$92-SUM(E$99:E135))</f>
        <v>53933</v>
      </c>
      <c r="E136" s="354">
        <f t="shared" si="72"/>
        <v>27988</v>
      </c>
      <c r="F136" s="55">
        <f t="shared" si="73"/>
        <v>25945</v>
      </c>
      <c r="G136" s="55">
        <f t="shared" si="74"/>
        <v>39939</v>
      </c>
      <c r="H136" s="355">
        <f t="shared" si="75"/>
        <v>32765.546580477603</v>
      </c>
      <c r="I136" s="381">
        <f t="shared" si="76"/>
        <v>32765.546580477603</v>
      </c>
      <c r="J136" s="54">
        <f t="shared" si="45"/>
        <v>0</v>
      </c>
      <c r="K136" s="54"/>
      <c r="L136" s="115"/>
      <c r="M136" s="54">
        <f t="shared" si="78"/>
        <v>0</v>
      </c>
      <c r="N136" s="115"/>
      <c r="O136" s="54">
        <f t="shared" si="79"/>
        <v>0</v>
      </c>
      <c r="P136" s="54">
        <f t="shared" si="80"/>
        <v>0</v>
      </c>
    </row>
    <row r="137" spans="2:16">
      <c r="B137" s="7" t="str">
        <f t="shared" si="44"/>
        <v/>
      </c>
      <c r="C137" s="50">
        <f>IF(D93="","-",+C136+1)</f>
        <v>2051</v>
      </c>
      <c r="D137" s="12">
        <f>IF(F136+SUM(E$99:E136)=D$92,F136,D$92-SUM(E$99:E136))</f>
        <v>25945</v>
      </c>
      <c r="E137" s="354">
        <f t="shared" si="72"/>
        <v>25945</v>
      </c>
      <c r="F137" s="55">
        <f t="shared" si="73"/>
        <v>0</v>
      </c>
      <c r="G137" s="55">
        <f t="shared" si="74"/>
        <v>12972.5</v>
      </c>
      <c r="H137" s="355">
        <f t="shared" si="75"/>
        <v>27496.784546815034</v>
      </c>
      <c r="I137" s="381">
        <f t="shared" si="76"/>
        <v>27496.784546815034</v>
      </c>
      <c r="J137" s="54">
        <f t="shared" si="45"/>
        <v>0</v>
      </c>
      <c r="K137" s="54"/>
      <c r="L137" s="115"/>
      <c r="M137" s="54">
        <f t="shared" si="78"/>
        <v>0</v>
      </c>
      <c r="N137" s="115"/>
      <c r="O137" s="54">
        <f t="shared" si="79"/>
        <v>0</v>
      </c>
      <c r="P137" s="54">
        <f t="shared" si="80"/>
        <v>0</v>
      </c>
    </row>
    <row r="138" spans="2:16">
      <c r="B138" s="7" t="str">
        <f t="shared" si="44"/>
        <v/>
      </c>
      <c r="C138" s="50">
        <f>IF(D93="","-",+C137+1)</f>
        <v>2052</v>
      </c>
      <c r="D138" s="12">
        <f>IF(F137+SUM(E$99:E137)=D$92,F137,D$92-SUM(E$99:E137))</f>
        <v>0</v>
      </c>
      <c r="E138" s="354">
        <f t="shared" si="72"/>
        <v>0</v>
      </c>
      <c r="F138" s="55">
        <f t="shared" si="73"/>
        <v>0</v>
      </c>
      <c r="G138" s="55">
        <f t="shared" si="74"/>
        <v>0</v>
      </c>
      <c r="H138" s="355">
        <f t="shared" si="75"/>
        <v>0</v>
      </c>
      <c r="I138" s="381">
        <f t="shared" si="76"/>
        <v>0</v>
      </c>
      <c r="J138" s="54">
        <f t="shared" si="45"/>
        <v>0</v>
      </c>
      <c r="K138" s="54"/>
      <c r="L138" s="115"/>
      <c r="M138" s="54">
        <f t="shared" si="78"/>
        <v>0</v>
      </c>
      <c r="N138" s="115"/>
      <c r="O138" s="54">
        <f t="shared" si="79"/>
        <v>0</v>
      </c>
      <c r="P138" s="54">
        <f t="shared" si="80"/>
        <v>0</v>
      </c>
    </row>
    <row r="139" spans="2:16">
      <c r="B139" s="7" t="str">
        <f t="shared" si="44"/>
        <v/>
      </c>
      <c r="C139" s="50">
        <f>IF(D93="","-",+C138+1)</f>
        <v>2053</v>
      </c>
      <c r="D139" s="12">
        <f>IF(F138+SUM(E$99:E138)=D$92,F138,D$92-SUM(E$99:E138))</f>
        <v>0</v>
      </c>
      <c r="E139" s="354">
        <f t="shared" si="72"/>
        <v>0</v>
      </c>
      <c r="F139" s="55">
        <f t="shared" si="73"/>
        <v>0</v>
      </c>
      <c r="G139" s="55">
        <f t="shared" si="74"/>
        <v>0</v>
      </c>
      <c r="H139" s="355">
        <f t="shared" si="75"/>
        <v>0</v>
      </c>
      <c r="I139" s="381">
        <f t="shared" si="76"/>
        <v>0</v>
      </c>
      <c r="J139" s="54">
        <f t="shared" si="45"/>
        <v>0</v>
      </c>
      <c r="K139" s="54"/>
      <c r="L139" s="115"/>
      <c r="M139" s="54">
        <f t="shared" si="78"/>
        <v>0</v>
      </c>
      <c r="N139" s="115"/>
      <c r="O139" s="54">
        <f t="shared" si="79"/>
        <v>0</v>
      </c>
      <c r="P139" s="54">
        <f t="shared" si="80"/>
        <v>0</v>
      </c>
    </row>
    <row r="140" spans="2:16">
      <c r="B140" s="7" t="str">
        <f t="shared" si="44"/>
        <v/>
      </c>
      <c r="C140" s="50">
        <f>IF(D93="","-",+C139+1)</f>
        <v>2054</v>
      </c>
      <c r="D140" s="12">
        <f>IF(F139+SUM(E$99:E139)=D$92,F139,D$92-SUM(E$99:E139))</f>
        <v>0</v>
      </c>
      <c r="E140" s="354">
        <f t="shared" si="72"/>
        <v>0</v>
      </c>
      <c r="F140" s="55">
        <f t="shared" si="73"/>
        <v>0</v>
      </c>
      <c r="G140" s="55">
        <f t="shared" si="74"/>
        <v>0</v>
      </c>
      <c r="H140" s="355">
        <f t="shared" si="75"/>
        <v>0</v>
      </c>
      <c r="I140" s="381">
        <f t="shared" si="76"/>
        <v>0</v>
      </c>
      <c r="J140" s="54">
        <f t="shared" si="45"/>
        <v>0</v>
      </c>
      <c r="K140" s="54"/>
      <c r="L140" s="115"/>
      <c r="M140" s="54">
        <f t="shared" si="78"/>
        <v>0</v>
      </c>
      <c r="N140" s="115"/>
      <c r="O140" s="54">
        <f t="shared" si="79"/>
        <v>0</v>
      </c>
      <c r="P140" s="54">
        <f t="shared" si="80"/>
        <v>0</v>
      </c>
    </row>
    <row r="141" spans="2:16">
      <c r="B141" s="7" t="str">
        <f t="shared" si="44"/>
        <v/>
      </c>
      <c r="C141" s="50">
        <f>IF(D93="","-",+C140+1)</f>
        <v>2055</v>
      </c>
      <c r="D141" s="12">
        <f>IF(F140+SUM(E$99:E140)=D$92,F140,D$92-SUM(E$99:E140))</f>
        <v>0</v>
      </c>
      <c r="E141" s="354">
        <f t="shared" si="72"/>
        <v>0</v>
      </c>
      <c r="F141" s="55">
        <f t="shared" si="73"/>
        <v>0</v>
      </c>
      <c r="G141" s="55">
        <f t="shared" si="74"/>
        <v>0</v>
      </c>
      <c r="H141" s="355">
        <f t="shared" si="75"/>
        <v>0</v>
      </c>
      <c r="I141" s="381">
        <f t="shared" si="76"/>
        <v>0</v>
      </c>
      <c r="J141" s="54">
        <f t="shared" si="45"/>
        <v>0</v>
      </c>
      <c r="K141" s="54"/>
      <c r="L141" s="115"/>
      <c r="M141" s="54">
        <f t="shared" si="78"/>
        <v>0</v>
      </c>
      <c r="N141" s="115"/>
      <c r="O141" s="54">
        <f t="shared" si="79"/>
        <v>0</v>
      </c>
      <c r="P141" s="54">
        <f t="shared" si="80"/>
        <v>0</v>
      </c>
    </row>
    <row r="142" spans="2:16">
      <c r="B142" s="7" t="str">
        <f t="shared" si="44"/>
        <v/>
      </c>
      <c r="C142" s="50">
        <f>IF(D93="","-",+C141+1)</f>
        <v>2056</v>
      </c>
      <c r="D142" s="12">
        <f>IF(F141+SUM(E$99:E141)=D$92,F141,D$92-SUM(E$99:E141))</f>
        <v>0</v>
      </c>
      <c r="E142" s="354">
        <f t="shared" si="72"/>
        <v>0</v>
      </c>
      <c r="F142" s="55">
        <f t="shared" si="73"/>
        <v>0</v>
      </c>
      <c r="G142" s="55">
        <f t="shared" si="74"/>
        <v>0</v>
      </c>
      <c r="H142" s="355">
        <f t="shared" si="75"/>
        <v>0</v>
      </c>
      <c r="I142" s="381">
        <f t="shared" si="76"/>
        <v>0</v>
      </c>
      <c r="J142" s="54">
        <f t="shared" si="45"/>
        <v>0</v>
      </c>
      <c r="K142" s="54"/>
      <c r="L142" s="115"/>
      <c r="M142" s="54">
        <f t="shared" si="78"/>
        <v>0</v>
      </c>
      <c r="N142" s="115"/>
      <c r="O142" s="54">
        <f t="shared" si="79"/>
        <v>0</v>
      </c>
      <c r="P142" s="54">
        <f t="shared" si="80"/>
        <v>0</v>
      </c>
    </row>
    <row r="143" spans="2:16">
      <c r="B143" s="7" t="str">
        <f t="shared" si="44"/>
        <v/>
      </c>
      <c r="C143" s="50">
        <f>IF(D93="","-",+C142+1)</f>
        <v>2057</v>
      </c>
      <c r="D143" s="12">
        <f>IF(F142+SUM(E$99:E142)=D$92,F142,D$92-SUM(E$99:E142))</f>
        <v>0</v>
      </c>
      <c r="E143" s="354">
        <f t="shared" si="72"/>
        <v>0</v>
      </c>
      <c r="F143" s="55">
        <f t="shared" si="73"/>
        <v>0</v>
      </c>
      <c r="G143" s="55">
        <f t="shared" si="74"/>
        <v>0</v>
      </c>
      <c r="H143" s="355">
        <f t="shared" si="75"/>
        <v>0</v>
      </c>
      <c r="I143" s="381">
        <f t="shared" si="76"/>
        <v>0</v>
      </c>
      <c r="J143" s="54">
        <f t="shared" si="45"/>
        <v>0</v>
      </c>
      <c r="K143" s="54"/>
      <c r="L143" s="115"/>
      <c r="M143" s="54">
        <f t="shared" si="78"/>
        <v>0</v>
      </c>
      <c r="N143" s="115"/>
      <c r="O143" s="54">
        <f t="shared" si="79"/>
        <v>0</v>
      </c>
      <c r="P143" s="54">
        <f t="shared" si="80"/>
        <v>0</v>
      </c>
    </row>
    <row r="144" spans="2:16">
      <c r="B144" s="7" t="str">
        <f t="shared" si="44"/>
        <v/>
      </c>
      <c r="C144" s="50">
        <f>IF(D93="","-",+C143+1)</f>
        <v>2058</v>
      </c>
      <c r="D144" s="12">
        <f>IF(F143+SUM(E$99:E143)=D$92,F143,D$92-SUM(E$99:E143))</f>
        <v>0</v>
      </c>
      <c r="E144" s="354">
        <f t="shared" si="72"/>
        <v>0</v>
      </c>
      <c r="F144" s="55">
        <f t="shared" si="73"/>
        <v>0</v>
      </c>
      <c r="G144" s="55">
        <f t="shared" si="74"/>
        <v>0</v>
      </c>
      <c r="H144" s="355">
        <f t="shared" si="75"/>
        <v>0</v>
      </c>
      <c r="I144" s="381">
        <f t="shared" si="76"/>
        <v>0</v>
      </c>
      <c r="J144" s="54">
        <f t="shared" si="45"/>
        <v>0</v>
      </c>
      <c r="K144" s="54"/>
      <c r="L144" s="115"/>
      <c r="M144" s="54">
        <f t="shared" si="78"/>
        <v>0</v>
      </c>
      <c r="N144" s="115"/>
      <c r="O144" s="54">
        <f t="shared" si="79"/>
        <v>0</v>
      </c>
      <c r="P144" s="54">
        <f t="shared" si="80"/>
        <v>0</v>
      </c>
    </row>
    <row r="145" spans="2:16">
      <c r="B145" s="7" t="str">
        <f t="shared" si="44"/>
        <v/>
      </c>
      <c r="C145" s="50">
        <f>IF(D93="","-",+C144+1)</f>
        <v>2059</v>
      </c>
      <c r="D145" s="12">
        <f>IF(F144+SUM(E$99:E144)=D$92,F144,D$92-SUM(E$99:E144))</f>
        <v>0</v>
      </c>
      <c r="E145" s="354">
        <f t="shared" si="72"/>
        <v>0</v>
      </c>
      <c r="F145" s="55">
        <f t="shared" si="73"/>
        <v>0</v>
      </c>
      <c r="G145" s="55">
        <f t="shared" si="74"/>
        <v>0</v>
      </c>
      <c r="H145" s="355">
        <f t="shared" si="75"/>
        <v>0</v>
      </c>
      <c r="I145" s="381">
        <f t="shared" si="76"/>
        <v>0</v>
      </c>
      <c r="J145" s="54">
        <f t="shared" si="45"/>
        <v>0</v>
      </c>
      <c r="K145" s="54"/>
      <c r="L145" s="115"/>
      <c r="M145" s="54">
        <f t="shared" si="78"/>
        <v>0</v>
      </c>
      <c r="N145" s="115"/>
      <c r="O145" s="54">
        <f t="shared" si="79"/>
        <v>0</v>
      </c>
      <c r="P145" s="54">
        <f t="shared" si="80"/>
        <v>0</v>
      </c>
    </row>
    <row r="146" spans="2:16">
      <c r="B146" s="7" t="str">
        <f t="shared" si="44"/>
        <v/>
      </c>
      <c r="C146" s="50">
        <f>IF(D93="","-",+C145+1)</f>
        <v>2060</v>
      </c>
      <c r="D146" s="12">
        <f>IF(F145+SUM(E$99:E145)=D$92,F145,D$92-SUM(E$99:E145))</f>
        <v>0</v>
      </c>
      <c r="E146" s="354">
        <f t="shared" si="72"/>
        <v>0</v>
      </c>
      <c r="F146" s="55">
        <f t="shared" si="73"/>
        <v>0</v>
      </c>
      <c r="G146" s="55">
        <f t="shared" si="74"/>
        <v>0</v>
      </c>
      <c r="H146" s="355">
        <f t="shared" si="75"/>
        <v>0</v>
      </c>
      <c r="I146" s="381">
        <f t="shared" si="76"/>
        <v>0</v>
      </c>
      <c r="J146" s="54">
        <f t="shared" si="45"/>
        <v>0</v>
      </c>
      <c r="K146" s="54"/>
      <c r="L146" s="115"/>
      <c r="M146" s="54">
        <f t="shared" si="78"/>
        <v>0</v>
      </c>
      <c r="N146" s="115"/>
      <c r="O146" s="54">
        <f t="shared" si="79"/>
        <v>0</v>
      </c>
      <c r="P146" s="54">
        <f t="shared" si="80"/>
        <v>0</v>
      </c>
    </row>
    <row r="147" spans="2:16">
      <c r="B147" s="7" t="str">
        <f t="shared" si="44"/>
        <v/>
      </c>
      <c r="C147" s="50">
        <f>IF(D93="","-",+C146+1)</f>
        <v>2061</v>
      </c>
      <c r="D147" s="12">
        <f>IF(F146+SUM(E$99:E146)=D$92,F146,D$92-SUM(E$99:E146))</f>
        <v>0</v>
      </c>
      <c r="E147" s="354">
        <f t="shared" si="72"/>
        <v>0</v>
      </c>
      <c r="F147" s="55">
        <f t="shared" si="73"/>
        <v>0</v>
      </c>
      <c r="G147" s="55">
        <f t="shared" si="74"/>
        <v>0</v>
      </c>
      <c r="H147" s="355">
        <f t="shared" si="75"/>
        <v>0</v>
      </c>
      <c r="I147" s="381">
        <f t="shared" si="76"/>
        <v>0</v>
      </c>
      <c r="J147" s="54">
        <f t="shared" si="45"/>
        <v>0</v>
      </c>
      <c r="K147" s="54"/>
      <c r="L147" s="115"/>
      <c r="M147" s="54">
        <f t="shared" si="78"/>
        <v>0</v>
      </c>
      <c r="N147" s="115"/>
      <c r="O147" s="54">
        <f t="shared" si="79"/>
        <v>0</v>
      </c>
      <c r="P147" s="54">
        <f t="shared" si="80"/>
        <v>0</v>
      </c>
    </row>
    <row r="148" spans="2:16">
      <c r="B148" s="7" t="str">
        <f t="shared" si="44"/>
        <v/>
      </c>
      <c r="C148" s="50">
        <f>IF(D93="","-",+C147+1)</f>
        <v>2062</v>
      </c>
      <c r="D148" s="12">
        <f>IF(F147+SUM(E$99:E147)=D$92,F147,D$92-SUM(E$99:E147))</f>
        <v>0</v>
      </c>
      <c r="E148" s="354">
        <f t="shared" si="72"/>
        <v>0</v>
      </c>
      <c r="F148" s="55">
        <f t="shared" si="73"/>
        <v>0</v>
      </c>
      <c r="G148" s="55">
        <f t="shared" si="74"/>
        <v>0</v>
      </c>
      <c r="H148" s="355">
        <f t="shared" si="75"/>
        <v>0</v>
      </c>
      <c r="I148" s="381">
        <f t="shared" si="76"/>
        <v>0</v>
      </c>
      <c r="J148" s="54">
        <f t="shared" si="45"/>
        <v>0</v>
      </c>
      <c r="K148" s="54"/>
      <c r="L148" s="115"/>
      <c r="M148" s="54">
        <f t="shared" si="78"/>
        <v>0</v>
      </c>
      <c r="N148" s="115"/>
      <c r="O148" s="54">
        <f t="shared" si="79"/>
        <v>0</v>
      </c>
      <c r="P148" s="54">
        <f t="shared" si="80"/>
        <v>0</v>
      </c>
    </row>
    <row r="149" spans="2:16">
      <c r="B149" s="7" t="str">
        <f t="shared" si="44"/>
        <v/>
      </c>
      <c r="C149" s="50">
        <f>IF(D93="","-",+C148+1)</f>
        <v>2063</v>
      </c>
      <c r="D149" s="12">
        <f>IF(F148+SUM(E$99:E148)=D$92,F148,D$92-SUM(E$99:E148))</f>
        <v>0</v>
      </c>
      <c r="E149" s="354">
        <f t="shared" si="72"/>
        <v>0</v>
      </c>
      <c r="F149" s="55">
        <f t="shared" si="73"/>
        <v>0</v>
      </c>
      <c r="G149" s="55">
        <f t="shared" si="74"/>
        <v>0</v>
      </c>
      <c r="H149" s="355">
        <f t="shared" si="75"/>
        <v>0</v>
      </c>
      <c r="I149" s="381">
        <f t="shared" si="76"/>
        <v>0</v>
      </c>
      <c r="J149" s="54">
        <f t="shared" si="45"/>
        <v>0</v>
      </c>
      <c r="K149" s="54"/>
      <c r="L149" s="115"/>
      <c r="M149" s="54">
        <f t="shared" si="78"/>
        <v>0</v>
      </c>
      <c r="N149" s="115"/>
      <c r="O149" s="54">
        <f t="shared" si="79"/>
        <v>0</v>
      </c>
      <c r="P149" s="54">
        <f t="shared" si="80"/>
        <v>0</v>
      </c>
    </row>
    <row r="150" spans="2:16">
      <c r="B150" s="7" t="str">
        <f t="shared" si="44"/>
        <v/>
      </c>
      <c r="C150" s="50">
        <f>IF(D93="","-",+C149+1)</f>
        <v>2064</v>
      </c>
      <c r="D150" s="12">
        <f>IF(F149+SUM(E$99:E149)=D$92,F149,D$92-SUM(E$99:E149))</f>
        <v>0</v>
      </c>
      <c r="E150" s="354">
        <f t="shared" si="72"/>
        <v>0</v>
      </c>
      <c r="F150" s="55">
        <f t="shared" si="73"/>
        <v>0</v>
      </c>
      <c r="G150" s="55">
        <f t="shared" si="74"/>
        <v>0</v>
      </c>
      <c r="H150" s="355">
        <f t="shared" si="75"/>
        <v>0</v>
      </c>
      <c r="I150" s="381">
        <f t="shared" si="76"/>
        <v>0</v>
      </c>
      <c r="J150" s="54">
        <f t="shared" si="45"/>
        <v>0</v>
      </c>
      <c r="K150" s="54"/>
      <c r="L150" s="115"/>
      <c r="M150" s="54">
        <f t="shared" si="78"/>
        <v>0</v>
      </c>
      <c r="N150" s="115"/>
      <c r="O150" s="54">
        <f t="shared" si="79"/>
        <v>0</v>
      </c>
      <c r="P150" s="54">
        <f t="shared" si="80"/>
        <v>0</v>
      </c>
    </row>
    <row r="151" spans="2:16">
      <c r="B151" s="7" t="str">
        <f t="shared" si="44"/>
        <v/>
      </c>
      <c r="C151" s="50">
        <f>IF(D93="","-",+C150+1)</f>
        <v>2065</v>
      </c>
      <c r="D151" s="12">
        <f>IF(F150+SUM(E$99:E150)=D$92,F150,D$92-SUM(E$99:E150))</f>
        <v>0</v>
      </c>
      <c r="E151" s="354">
        <f t="shared" si="72"/>
        <v>0</v>
      </c>
      <c r="F151" s="55">
        <f t="shared" si="73"/>
        <v>0</v>
      </c>
      <c r="G151" s="55">
        <f t="shared" si="74"/>
        <v>0</v>
      </c>
      <c r="H151" s="355">
        <f t="shared" si="75"/>
        <v>0</v>
      </c>
      <c r="I151" s="381">
        <f t="shared" si="76"/>
        <v>0</v>
      </c>
      <c r="J151" s="54">
        <f t="shared" si="45"/>
        <v>0</v>
      </c>
      <c r="K151" s="54"/>
      <c r="L151" s="115"/>
      <c r="M151" s="54">
        <f t="shared" si="78"/>
        <v>0</v>
      </c>
      <c r="N151" s="115"/>
      <c r="O151" s="54">
        <f t="shared" si="79"/>
        <v>0</v>
      </c>
      <c r="P151" s="54">
        <f t="shared" si="80"/>
        <v>0</v>
      </c>
    </row>
    <row r="152" spans="2:16">
      <c r="B152" s="7" t="str">
        <f t="shared" si="44"/>
        <v/>
      </c>
      <c r="C152" s="50">
        <f>IF(D93="","-",+C151+1)</f>
        <v>2066</v>
      </c>
      <c r="D152" s="12">
        <f>IF(F151+SUM(E$99:E151)=D$92,F151,D$92-SUM(E$99:E151))</f>
        <v>0</v>
      </c>
      <c r="E152" s="354">
        <f t="shared" si="72"/>
        <v>0</v>
      </c>
      <c r="F152" s="55">
        <f t="shared" si="73"/>
        <v>0</v>
      </c>
      <c r="G152" s="55">
        <f t="shared" si="74"/>
        <v>0</v>
      </c>
      <c r="H152" s="355">
        <f t="shared" si="75"/>
        <v>0</v>
      </c>
      <c r="I152" s="381">
        <f t="shared" si="76"/>
        <v>0</v>
      </c>
      <c r="J152" s="54">
        <f t="shared" si="45"/>
        <v>0</v>
      </c>
      <c r="K152" s="54"/>
      <c r="L152" s="115"/>
      <c r="M152" s="54">
        <f t="shared" si="78"/>
        <v>0</v>
      </c>
      <c r="N152" s="115"/>
      <c r="O152" s="54">
        <f t="shared" si="79"/>
        <v>0</v>
      </c>
      <c r="P152" s="54">
        <f t="shared" si="80"/>
        <v>0</v>
      </c>
    </row>
    <row r="153" spans="2:16">
      <c r="B153" s="7" t="str">
        <f t="shared" si="44"/>
        <v/>
      </c>
      <c r="C153" s="50">
        <f>IF(D93="","-",+C152+1)</f>
        <v>2067</v>
      </c>
      <c r="D153" s="12">
        <f>IF(F152+SUM(E$99:E152)=D$92,F152,D$92-SUM(E$99:E152))</f>
        <v>0</v>
      </c>
      <c r="E153" s="354">
        <f t="shared" si="72"/>
        <v>0</v>
      </c>
      <c r="F153" s="55">
        <f t="shared" si="73"/>
        <v>0</v>
      </c>
      <c r="G153" s="55">
        <f t="shared" si="74"/>
        <v>0</v>
      </c>
      <c r="H153" s="356">
        <f t="shared" ref="H153:H154" si="81">+J$94*G153+E153</f>
        <v>0</v>
      </c>
      <c r="I153" s="381">
        <f t="shared" ref="I153:I154" si="82">+J$95*G153+E153</f>
        <v>0</v>
      </c>
      <c r="J153" s="54">
        <f t="shared" si="45"/>
        <v>0</v>
      </c>
      <c r="K153" s="54"/>
      <c r="L153" s="115"/>
      <c r="M153" s="54">
        <f t="shared" si="78"/>
        <v>0</v>
      </c>
      <c r="N153" s="115"/>
      <c r="O153" s="54">
        <f t="shared" si="79"/>
        <v>0</v>
      </c>
      <c r="P153" s="54">
        <f t="shared" si="80"/>
        <v>0</v>
      </c>
    </row>
    <row r="154" spans="2:16" ht="13.5" thickBot="1">
      <c r="B154" s="7" t="str">
        <f t="shared" si="44"/>
        <v/>
      </c>
      <c r="C154" s="58">
        <f>IF(D93="","-",+C153+1)</f>
        <v>2068</v>
      </c>
      <c r="D154" s="403">
        <f>IF(F153+SUM(E$99:E153)=D$92,F153,D$92-SUM(E$99:E153))</f>
        <v>0</v>
      </c>
      <c r="E154" s="357">
        <f t="shared" si="72"/>
        <v>0</v>
      </c>
      <c r="F154" s="59">
        <f t="shared" si="73"/>
        <v>0</v>
      </c>
      <c r="G154" s="59">
        <f t="shared" si="74"/>
        <v>0</v>
      </c>
      <c r="H154" s="358">
        <f t="shared" si="81"/>
        <v>0</v>
      </c>
      <c r="I154" s="383">
        <f t="shared" si="82"/>
        <v>0</v>
      </c>
      <c r="J154" s="62">
        <f t="shared" si="45"/>
        <v>0</v>
      </c>
      <c r="K154" s="62"/>
      <c r="L154" s="116"/>
      <c r="M154" s="62">
        <f t="shared" si="78"/>
        <v>0</v>
      </c>
      <c r="N154" s="116"/>
      <c r="O154" s="62">
        <f t="shared" si="79"/>
        <v>0</v>
      </c>
      <c r="P154" s="62">
        <f t="shared" si="80"/>
        <v>0</v>
      </c>
    </row>
    <row r="155" spans="2:16">
      <c r="C155" s="12" t="s">
        <v>77</v>
      </c>
      <c r="D155" s="266"/>
      <c r="E155" s="266">
        <f>SUM(E99:E154)</f>
        <v>1035552</v>
      </c>
      <c r="F155" s="266"/>
      <c r="G155" s="266"/>
      <c r="H155" s="266">
        <f>SUM(H99:H154)</f>
        <v>3513149.0981721669</v>
      </c>
      <c r="I155" s="266">
        <f>SUM(I99:I154)</f>
        <v>3513149.0981721669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P162"/>
  <sheetViews>
    <sheetView zoomScaleNormal="100" zoomScaleSheetLayoutView="80" workbookViewId="0">
      <selection activeCell="D108" sqref="D108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15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244689.81578947368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244689.81578947368</v>
      </c>
      <c r="O6" s="1"/>
      <c r="P6" s="1"/>
    </row>
    <row r="7" spans="1:16" ht="13.5" thickBot="1">
      <c r="C7" s="26" t="s">
        <v>46</v>
      </c>
      <c r="D7" s="88" t="s">
        <v>250</v>
      </c>
      <c r="E7" s="426"/>
      <c r="F7" s="426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249</v>
      </c>
      <c r="E9" s="404" t="s">
        <v>258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2246629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2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59121.815789473687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2014</v>
      </c>
      <c r="D17" s="411">
        <v>2295000</v>
      </c>
      <c r="E17" s="432">
        <v>36778.846153846156</v>
      </c>
      <c r="F17" s="411">
        <v>2258221.153846154</v>
      </c>
      <c r="G17" s="432">
        <v>347642.78736560291</v>
      </c>
      <c r="H17" s="414">
        <v>347642.78736560291</v>
      </c>
      <c r="I17" s="52">
        <v>0</v>
      </c>
      <c r="J17" s="52"/>
      <c r="K17" s="350">
        <f t="shared" ref="K17:K22" si="0">G17</f>
        <v>347642.78736560291</v>
      </c>
      <c r="L17" s="63">
        <f t="shared" ref="L17:L22" si="1">IF(K17&lt;&gt;0,+G17-K17,0)</f>
        <v>0</v>
      </c>
      <c r="M17" s="350">
        <f t="shared" ref="M17:M22" si="2">H17</f>
        <v>347642.78736560291</v>
      </c>
      <c r="N17" s="54">
        <f>IF(M17&lt;&gt;0,+H17-M17,0)</f>
        <v>0</v>
      </c>
      <c r="O17" s="52">
        <f>+N17-L17</f>
        <v>0</v>
      </c>
      <c r="P17" s="1"/>
    </row>
    <row r="18" spans="2:16">
      <c r="B18" s="7" t="str">
        <f>IF(D18=F17,"","IU")</f>
        <v/>
      </c>
      <c r="C18" s="50">
        <f>IF(D11="","-",+C17+1)</f>
        <v>2015</v>
      </c>
      <c r="D18" s="411">
        <v>2258221.153846154</v>
      </c>
      <c r="E18" s="412">
        <v>43204.395576923074</v>
      </c>
      <c r="F18" s="411">
        <v>2215016.7582692308</v>
      </c>
      <c r="G18" s="412">
        <v>348592.42580485216</v>
      </c>
      <c r="H18" s="414">
        <v>348592.42580485216</v>
      </c>
      <c r="I18" s="52">
        <v>0</v>
      </c>
      <c r="J18" s="52"/>
      <c r="K18" s="350">
        <f t="shared" si="0"/>
        <v>348592.42580485216</v>
      </c>
      <c r="L18" s="63">
        <f t="shared" si="1"/>
        <v>0</v>
      </c>
      <c r="M18" s="350">
        <f t="shared" si="2"/>
        <v>348592.42580485216</v>
      </c>
      <c r="N18" s="54">
        <f>IF(M18&lt;&gt;0,+H18-M18,0)</f>
        <v>0</v>
      </c>
      <c r="O18" s="52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2016</v>
      </c>
      <c r="D19" s="411">
        <v>2166645.3282692307</v>
      </c>
      <c r="E19" s="412">
        <v>43204.395576923074</v>
      </c>
      <c r="F19" s="411">
        <v>2123440.9326923075</v>
      </c>
      <c r="G19" s="412">
        <v>321714.3955769231</v>
      </c>
      <c r="H19" s="414">
        <v>321714.3955769231</v>
      </c>
      <c r="I19" s="52">
        <f>H19-G19</f>
        <v>0</v>
      </c>
      <c r="J19" s="52"/>
      <c r="K19" s="350">
        <f t="shared" si="0"/>
        <v>321714.3955769231</v>
      </c>
      <c r="L19" s="63">
        <f t="shared" si="1"/>
        <v>0</v>
      </c>
      <c r="M19" s="350">
        <f t="shared" si="2"/>
        <v>321714.3955769231</v>
      </c>
      <c r="N19" s="54">
        <f>IF(M19&lt;&gt;0,+H19-M19,0)</f>
        <v>0</v>
      </c>
      <c r="O19" s="52">
        <f>+N19-L19</f>
        <v>0</v>
      </c>
      <c r="P19" s="1"/>
    </row>
    <row r="20" spans="2:16">
      <c r="B20" s="7" t="str">
        <f t="shared" ref="B20:B72" si="3">IF(D20=F19,"","IU")</f>
        <v/>
      </c>
      <c r="C20" s="50">
        <f>IF(D11="","-",+C19+1)</f>
        <v>2017</v>
      </c>
      <c r="D20" s="411">
        <v>2123440.9326923075</v>
      </c>
      <c r="E20" s="412">
        <v>48839.751521739126</v>
      </c>
      <c r="F20" s="411">
        <v>2074601.1811705683</v>
      </c>
      <c r="G20" s="412">
        <v>312854.75152173912</v>
      </c>
      <c r="H20" s="414">
        <v>312854.75152173912</v>
      </c>
      <c r="I20" s="52">
        <f t="shared" ref="I20:I72" si="4">H20-G20</f>
        <v>0</v>
      </c>
      <c r="J20" s="52"/>
      <c r="K20" s="350">
        <f t="shared" si="0"/>
        <v>312854.75152173912</v>
      </c>
      <c r="L20" s="63">
        <f t="shared" si="1"/>
        <v>0</v>
      </c>
      <c r="M20" s="350">
        <f t="shared" si="2"/>
        <v>312854.75152173912</v>
      </c>
      <c r="N20" s="54">
        <f>IF(M20&lt;&gt;0,+H20-M20,0)</f>
        <v>0</v>
      </c>
      <c r="O20" s="52">
        <f>+N20-L20</f>
        <v>0</v>
      </c>
      <c r="P20" s="1"/>
    </row>
    <row r="21" spans="2:16">
      <c r="B21" s="7" t="str">
        <f t="shared" si="3"/>
        <v/>
      </c>
      <c r="C21" s="50">
        <f>IF(D11="","-",+C20+1)</f>
        <v>2018</v>
      </c>
      <c r="D21" s="411">
        <v>2074601.1811705683</v>
      </c>
      <c r="E21" s="412">
        <v>49925.079333333328</v>
      </c>
      <c r="F21" s="411">
        <v>2024676.101837235</v>
      </c>
      <c r="G21" s="412">
        <v>295387.63187355472</v>
      </c>
      <c r="H21" s="414">
        <v>295387.63187355472</v>
      </c>
      <c r="I21" s="52">
        <f t="shared" si="4"/>
        <v>0</v>
      </c>
      <c r="J21" s="52"/>
      <c r="K21" s="350">
        <f t="shared" si="0"/>
        <v>295387.63187355472</v>
      </c>
      <c r="L21" s="63">
        <f t="shared" si="1"/>
        <v>0</v>
      </c>
      <c r="M21" s="350">
        <f t="shared" si="2"/>
        <v>295387.63187355472</v>
      </c>
      <c r="N21" s="54">
        <f>IF(M21&lt;&gt;0,+H21-M21,0)</f>
        <v>0</v>
      </c>
      <c r="O21" s="52">
        <f>+N21-L21</f>
        <v>0</v>
      </c>
      <c r="P21" s="1"/>
    </row>
    <row r="22" spans="2:16">
      <c r="B22" s="7" t="str">
        <f t="shared" si="3"/>
        <v/>
      </c>
      <c r="C22" s="50">
        <f>IF(D11="","-",+C21+1)</f>
        <v>2019</v>
      </c>
      <c r="D22" s="411">
        <v>2024676.101837235</v>
      </c>
      <c r="E22" s="412">
        <v>56165.714249999997</v>
      </c>
      <c r="F22" s="411">
        <v>1968510.3875872351</v>
      </c>
      <c r="G22" s="412">
        <v>279098.59002601594</v>
      </c>
      <c r="H22" s="414">
        <v>279098.59002601594</v>
      </c>
      <c r="I22" s="52">
        <f t="shared" si="4"/>
        <v>0</v>
      </c>
      <c r="J22" s="52"/>
      <c r="K22" s="350">
        <f t="shared" si="0"/>
        <v>279098.59002601594</v>
      </c>
      <c r="L22" s="63">
        <f t="shared" si="1"/>
        <v>0</v>
      </c>
      <c r="M22" s="350">
        <f t="shared" si="2"/>
        <v>279098.59002601594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>
      <c r="B23" s="7" t="str">
        <f t="shared" si="3"/>
        <v>IU</v>
      </c>
      <c r="C23" s="50">
        <f>IF(D11="","-",+C22+1)</f>
        <v>2020</v>
      </c>
      <c r="D23" s="411">
        <v>1974751.0225039017</v>
      </c>
      <c r="E23" s="412">
        <v>53491.156428571427</v>
      </c>
      <c r="F23" s="411">
        <v>1921259.8660753304</v>
      </c>
      <c r="G23" s="412">
        <v>263885.04985844565</v>
      </c>
      <c r="H23" s="414">
        <v>263885.04985844565</v>
      </c>
      <c r="I23" s="52">
        <f t="shared" si="4"/>
        <v>0</v>
      </c>
      <c r="J23" s="52"/>
      <c r="K23" s="350">
        <f t="shared" ref="K23" si="7">G23</f>
        <v>263885.04985844565</v>
      </c>
      <c r="L23" s="63">
        <f t="shared" ref="L23" si="8">IF(K23&lt;&gt;0,+G23-K23,0)</f>
        <v>0</v>
      </c>
      <c r="M23" s="350">
        <f t="shared" ref="M23" si="9">H23</f>
        <v>263885.04985844565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3"/>
        <v>IU</v>
      </c>
      <c r="C24" s="50">
        <f>IF(D11="","-",+C23+1)</f>
        <v>2021</v>
      </c>
      <c r="D24" s="411">
        <v>1915019.2311586635</v>
      </c>
      <c r="E24" s="412">
        <v>52247.176046511624</v>
      </c>
      <c r="F24" s="411">
        <v>1862772.0551121519</v>
      </c>
      <c r="G24" s="412">
        <v>253094.17604651162</v>
      </c>
      <c r="H24" s="414">
        <v>253094.17604651162</v>
      </c>
      <c r="I24" s="52">
        <f t="shared" si="4"/>
        <v>0</v>
      </c>
      <c r="J24" s="52"/>
      <c r="K24" s="350">
        <f t="shared" ref="K24" si="10">G24</f>
        <v>253094.17604651162</v>
      </c>
      <c r="L24" s="63">
        <f t="shared" ref="L24" si="11">IF(K24&lt;&gt;0,+G24-K24,0)</f>
        <v>0</v>
      </c>
      <c r="M24" s="350">
        <f t="shared" ref="M24" si="12">H24</f>
        <v>253094.17604651162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3"/>
        <v/>
      </c>
      <c r="C25" s="50">
        <f>IF(D11="","-",+C24+1)</f>
        <v>2022</v>
      </c>
      <c r="D25" s="411">
        <v>1862772.0551121519</v>
      </c>
      <c r="E25" s="412">
        <v>53491.156428571427</v>
      </c>
      <c r="F25" s="411">
        <v>1809280.8986835806</v>
      </c>
      <c r="G25" s="412">
        <v>248552.15642857144</v>
      </c>
      <c r="H25" s="414">
        <v>248552.15642857144</v>
      </c>
      <c r="I25" s="52">
        <f t="shared" si="4"/>
        <v>0</v>
      </c>
      <c r="J25" s="52"/>
      <c r="K25" s="350">
        <f t="shared" ref="K25" si="13">G25</f>
        <v>248552.15642857144</v>
      </c>
      <c r="L25" s="63">
        <f t="shared" ref="L25" si="14">IF(K25&lt;&gt;0,+G25-K25,0)</f>
        <v>0</v>
      </c>
      <c r="M25" s="350">
        <f t="shared" ref="M25" si="15">H25</f>
        <v>248552.15642857144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3"/>
        <v>IU</v>
      </c>
      <c r="C26" s="50">
        <f>IF(D11="","-",+C25+1)</f>
        <v>2023</v>
      </c>
      <c r="D26" s="411">
        <v>1809281.3286835807</v>
      </c>
      <c r="E26" s="412">
        <v>57605.871794871797</v>
      </c>
      <c r="F26" s="411">
        <v>1751675.456888709</v>
      </c>
      <c r="G26" s="412">
        <v>266683.87179487181</v>
      </c>
      <c r="H26" s="414">
        <v>266683.87179487181</v>
      </c>
      <c r="I26" s="52">
        <f t="shared" si="4"/>
        <v>0</v>
      </c>
      <c r="J26" s="52"/>
      <c r="K26" s="350">
        <f t="shared" ref="K26" si="16">G26</f>
        <v>266683.87179487181</v>
      </c>
      <c r="L26" s="63">
        <f t="shared" ref="L26" si="17">IF(K26&lt;&gt;0,+G26-K26,0)</f>
        <v>0</v>
      </c>
      <c r="M26" s="350">
        <f t="shared" ref="M26" si="18">H26</f>
        <v>266683.87179487181</v>
      </c>
      <c r="N26" s="54">
        <f t="shared" si="5"/>
        <v>0</v>
      </c>
      <c r="O26" s="54">
        <f t="shared" si="6"/>
        <v>0</v>
      </c>
      <c r="P26" s="1"/>
    </row>
    <row r="27" spans="2:16">
      <c r="B27" s="7" t="str">
        <f t="shared" si="3"/>
        <v/>
      </c>
      <c r="C27" s="50">
        <f>IF(D11="","-",+C26+1)</f>
        <v>2024</v>
      </c>
      <c r="D27" s="411">
        <v>1751675.456888709</v>
      </c>
      <c r="E27" s="412">
        <v>59121.815789473687</v>
      </c>
      <c r="F27" s="411">
        <v>1692553.6410992353</v>
      </c>
      <c r="G27" s="412">
        <v>251632.81578947368</v>
      </c>
      <c r="H27" s="414">
        <v>251632.81578947368</v>
      </c>
      <c r="I27" s="52">
        <f t="shared" si="4"/>
        <v>0</v>
      </c>
      <c r="J27" s="52"/>
      <c r="K27" s="350">
        <f t="shared" ref="K27" si="19">G27</f>
        <v>251632.81578947368</v>
      </c>
      <c r="L27" s="63">
        <f t="shared" ref="L27" si="20">IF(K27&lt;&gt;0,+G27-K27,0)</f>
        <v>0</v>
      </c>
      <c r="M27" s="350">
        <f t="shared" ref="M27" si="21">H27</f>
        <v>251632.81578947368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>
      <c r="B28" s="7" t="str">
        <f t="shared" si="3"/>
        <v/>
      </c>
      <c r="C28" s="50">
        <f>IF(D11="","-",+C27+1)</f>
        <v>2025</v>
      </c>
      <c r="D28" s="411">
        <v>1692553.6410992353</v>
      </c>
      <c r="E28" s="412">
        <v>59121.815789473687</v>
      </c>
      <c r="F28" s="411">
        <v>1633431.8253097616</v>
      </c>
      <c r="G28" s="412">
        <v>244689.81578947368</v>
      </c>
      <c r="H28" s="414">
        <v>244689.81578947368</v>
      </c>
      <c r="I28" s="52">
        <f t="shared" si="4"/>
        <v>0</v>
      </c>
      <c r="J28" s="52"/>
      <c r="K28" s="350">
        <f t="shared" ref="K28" si="24">G28</f>
        <v>244689.81578947368</v>
      </c>
      <c r="L28" s="63">
        <f t="shared" ref="L28" si="25">IF(K28&lt;&gt;0,+G28-K28,0)</f>
        <v>0</v>
      </c>
      <c r="M28" s="350">
        <f t="shared" ref="M28" si="26">H28</f>
        <v>244689.81578947368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1633431.8253097616</v>
      </c>
      <c r="E29" s="354">
        <f t="shared" ref="E29:E72" si="29">IF(+$I$14&lt;F28,$I$14,D29)</f>
        <v>59121.815789473687</v>
      </c>
      <c r="F29" s="55">
        <f t="shared" ref="F29:F72" si="30">+D29-E29</f>
        <v>1574310.0095202879</v>
      </c>
      <c r="G29" s="355">
        <f t="shared" ref="G29:G72" si="31">(D29+F29)/2*I$12+E29</f>
        <v>241331.96784785719</v>
      </c>
      <c r="H29" s="336">
        <f t="shared" ref="H29:H72" si="32">+(D29+F29)/2*I$13+E29</f>
        <v>241331.96784785719</v>
      </c>
      <c r="I29" s="52">
        <f t="shared" si="4"/>
        <v>0</v>
      </c>
      <c r="J29" s="52"/>
      <c r="K29" s="115"/>
      <c r="L29" s="54">
        <f t="shared" ref="L29:L72" si="33">IF(K29&lt;&gt;0,+G29-K29,0)</f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1574310.0095202879</v>
      </c>
      <c r="E30" s="354">
        <f t="shared" si="29"/>
        <v>59121.815789473687</v>
      </c>
      <c r="F30" s="55">
        <f t="shared" si="30"/>
        <v>1515188.1937308141</v>
      </c>
      <c r="G30" s="355">
        <f t="shared" si="31"/>
        <v>234615.34562595791</v>
      </c>
      <c r="H30" s="336">
        <f t="shared" si="32"/>
        <v>234615.34562595791</v>
      </c>
      <c r="I30" s="52">
        <f t="shared" si="4"/>
        <v>0</v>
      </c>
      <c r="J30" s="52"/>
      <c r="K30" s="115"/>
      <c r="L30" s="54">
        <f t="shared" si="33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1515188.1937308141</v>
      </c>
      <c r="E31" s="354">
        <f t="shared" si="29"/>
        <v>59121.815789473687</v>
      </c>
      <c r="F31" s="55">
        <f t="shared" si="30"/>
        <v>1456066.3779413404</v>
      </c>
      <c r="G31" s="355">
        <f t="shared" si="31"/>
        <v>227898.72340405863</v>
      </c>
      <c r="H31" s="336">
        <f t="shared" si="32"/>
        <v>227898.72340405863</v>
      </c>
      <c r="I31" s="52">
        <f t="shared" si="4"/>
        <v>0</v>
      </c>
      <c r="J31" s="52"/>
      <c r="K31" s="115"/>
      <c r="L31" s="54">
        <f t="shared" si="33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1456066.3779413404</v>
      </c>
      <c r="E32" s="354">
        <f t="shared" si="29"/>
        <v>59121.815789473687</v>
      </c>
      <c r="F32" s="55">
        <f t="shared" si="30"/>
        <v>1396944.5621518667</v>
      </c>
      <c r="G32" s="355">
        <f t="shared" si="31"/>
        <v>221182.10118215936</v>
      </c>
      <c r="H32" s="336">
        <f t="shared" si="32"/>
        <v>221182.10118215936</v>
      </c>
      <c r="I32" s="52">
        <f t="shared" si="4"/>
        <v>0</v>
      </c>
      <c r="J32" s="52"/>
      <c r="K32" s="115"/>
      <c r="L32" s="54">
        <f t="shared" si="33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1396944.5621518667</v>
      </c>
      <c r="E33" s="354">
        <f t="shared" si="29"/>
        <v>59121.815789473687</v>
      </c>
      <c r="F33" s="55">
        <f t="shared" si="30"/>
        <v>1337822.746362393</v>
      </c>
      <c r="G33" s="355">
        <f t="shared" si="31"/>
        <v>214465.47896026005</v>
      </c>
      <c r="H33" s="336">
        <f t="shared" si="32"/>
        <v>214465.47896026005</v>
      </c>
      <c r="I33" s="52">
        <f t="shared" si="4"/>
        <v>0</v>
      </c>
      <c r="J33" s="52"/>
      <c r="K33" s="115"/>
      <c r="L33" s="54">
        <f t="shared" si="33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1337822.746362393</v>
      </c>
      <c r="E34" s="354">
        <f t="shared" si="29"/>
        <v>59121.815789473687</v>
      </c>
      <c r="F34" s="55">
        <f t="shared" si="30"/>
        <v>1278700.9305729193</v>
      </c>
      <c r="G34" s="355">
        <f t="shared" si="31"/>
        <v>207748.85673836077</v>
      </c>
      <c r="H34" s="336">
        <f t="shared" si="32"/>
        <v>207748.85673836077</v>
      </c>
      <c r="I34" s="52">
        <f t="shared" si="4"/>
        <v>0</v>
      </c>
      <c r="J34" s="52"/>
      <c r="K34" s="115"/>
      <c r="L34" s="54">
        <f t="shared" si="33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1278700.9305729193</v>
      </c>
      <c r="E35" s="354">
        <f t="shared" si="29"/>
        <v>59121.815789473687</v>
      </c>
      <c r="F35" s="55">
        <f t="shared" si="30"/>
        <v>1219579.1147834456</v>
      </c>
      <c r="G35" s="355">
        <f t="shared" si="31"/>
        <v>201032.2345164615</v>
      </c>
      <c r="H35" s="336">
        <f t="shared" si="32"/>
        <v>201032.2345164615</v>
      </c>
      <c r="I35" s="52">
        <f t="shared" si="4"/>
        <v>0</v>
      </c>
      <c r="J35" s="52"/>
      <c r="K35" s="115"/>
      <c r="L35" s="54">
        <f t="shared" si="33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1219579.1147834456</v>
      </c>
      <c r="E36" s="354">
        <f t="shared" si="29"/>
        <v>59121.815789473687</v>
      </c>
      <c r="F36" s="55">
        <f t="shared" si="30"/>
        <v>1160457.2989939719</v>
      </c>
      <c r="G36" s="355">
        <f t="shared" si="31"/>
        <v>194315.61229456222</v>
      </c>
      <c r="H36" s="336">
        <f t="shared" si="32"/>
        <v>194315.61229456222</v>
      </c>
      <c r="I36" s="52">
        <f t="shared" si="4"/>
        <v>0</v>
      </c>
      <c r="J36" s="52"/>
      <c r="K36" s="115"/>
      <c r="L36" s="54">
        <f t="shared" si="33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1160457.2989939719</v>
      </c>
      <c r="E37" s="354">
        <f t="shared" si="29"/>
        <v>59121.815789473687</v>
      </c>
      <c r="F37" s="55">
        <f t="shared" si="30"/>
        <v>1101335.4832044982</v>
      </c>
      <c r="G37" s="355">
        <f t="shared" si="31"/>
        <v>187598.99007266294</v>
      </c>
      <c r="H37" s="336">
        <f t="shared" si="32"/>
        <v>187598.99007266294</v>
      </c>
      <c r="I37" s="52">
        <f t="shared" si="4"/>
        <v>0</v>
      </c>
      <c r="J37" s="52"/>
      <c r="K37" s="115"/>
      <c r="L37" s="54">
        <f t="shared" si="33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1101335.4832044982</v>
      </c>
      <c r="E38" s="354">
        <f t="shared" si="29"/>
        <v>59121.815789473687</v>
      </c>
      <c r="F38" s="55">
        <f t="shared" si="30"/>
        <v>1042213.6674150245</v>
      </c>
      <c r="G38" s="355">
        <f t="shared" si="31"/>
        <v>180882.36785076367</v>
      </c>
      <c r="H38" s="336">
        <f t="shared" si="32"/>
        <v>180882.36785076367</v>
      </c>
      <c r="I38" s="52">
        <f t="shared" si="4"/>
        <v>0</v>
      </c>
      <c r="J38" s="52"/>
      <c r="K38" s="115"/>
      <c r="L38" s="54">
        <f t="shared" si="33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1042213.6674150245</v>
      </c>
      <c r="E39" s="354">
        <f t="shared" si="29"/>
        <v>59121.815789473687</v>
      </c>
      <c r="F39" s="55">
        <f t="shared" si="30"/>
        <v>983091.85162555077</v>
      </c>
      <c r="G39" s="355">
        <f t="shared" si="31"/>
        <v>174165.74562886439</v>
      </c>
      <c r="H39" s="336">
        <f t="shared" si="32"/>
        <v>174165.74562886439</v>
      </c>
      <c r="I39" s="52">
        <f t="shared" si="4"/>
        <v>0</v>
      </c>
      <c r="J39" s="52"/>
      <c r="K39" s="115"/>
      <c r="L39" s="54">
        <f t="shared" si="33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983091.85162555077</v>
      </c>
      <c r="E40" s="354">
        <f t="shared" si="29"/>
        <v>59121.815789473687</v>
      </c>
      <c r="F40" s="55">
        <f t="shared" si="30"/>
        <v>923970.03583607706</v>
      </c>
      <c r="G40" s="355">
        <f t="shared" si="31"/>
        <v>167449.12340696508</v>
      </c>
      <c r="H40" s="336">
        <f t="shared" si="32"/>
        <v>167449.12340696508</v>
      </c>
      <c r="I40" s="52">
        <f t="shared" si="4"/>
        <v>0</v>
      </c>
      <c r="J40" s="52"/>
      <c r="K40" s="115"/>
      <c r="L40" s="54">
        <f t="shared" si="33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923970.03583607706</v>
      </c>
      <c r="E41" s="354">
        <f t="shared" si="29"/>
        <v>59121.815789473687</v>
      </c>
      <c r="F41" s="55">
        <f t="shared" si="30"/>
        <v>864848.22004660335</v>
      </c>
      <c r="G41" s="355">
        <f t="shared" si="31"/>
        <v>160732.5011850658</v>
      </c>
      <c r="H41" s="336">
        <f t="shared" si="32"/>
        <v>160732.5011850658</v>
      </c>
      <c r="I41" s="52">
        <f t="shared" si="4"/>
        <v>0</v>
      </c>
      <c r="J41" s="52"/>
      <c r="K41" s="115"/>
      <c r="L41" s="54">
        <f t="shared" si="33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864848.22004660335</v>
      </c>
      <c r="E42" s="354">
        <f t="shared" si="29"/>
        <v>59121.815789473687</v>
      </c>
      <c r="F42" s="55">
        <f t="shared" si="30"/>
        <v>805726.40425712964</v>
      </c>
      <c r="G42" s="355">
        <f t="shared" si="31"/>
        <v>154015.87896316653</v>
      </c>
      <c r="H42" s="336">
        <f t="shared" si="32"/>
        <v>154015.87896316653</v>
      </c>
      <c r="I42" s="52">
        <f t="shared" si="4"/>
        <v>0</v>
      </c>
      <c r="J42" s="52"/>
      <c r="K42" s="115"/>
      <c r="L42" s="54">
        <f t="shared" si="33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805726.40425712964</v>
      </c>
      <c r="E43" s="354">
        <f t="shared" si="29"/>
        <v>59121.815789473687</v>
      </c>
      <c r="F43" s="55">
        <f t="shared" si="30"/>
        <v>746604.58846765594</v>
      </c>
      <c r="G43" s="355">
        <f t="shared" si="31"/>
        <v>147299.25674126725</v>
      </c>
      <c r="H43" s="336">
        <f t="shared" si="32"/>
        <v>147299.25674126725</v>
      </c>
      <c r="I43" s="52">
        <f t="shared" si="4"/>
        <v>0</v>
      </c>
      <c r="J43" s="52"/>
      <c r="K43" s="115"/>
      <c r="L43" s="54">
        <f t="shared" si="33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746604.58846765594</v>
      </c>
      <c r="E44" s="354">
        <f t="shared" si="29"/>
        <v>59121.815789473687</v>
      </c>
      <c r="F44" s="55">
        <f t="shared" si="30"/>
        <v>687482.77267818223</v>
      </c>
      <c r="G44" s="355">
        <f t="shared" si="31"/>
        <v>140582.63451936797</v>
      </c>
      <c r="H44" s="336">
        <f t="shared" si="32"/>
        <v>140582.63451936797</v>
      </c>
      <c r="I44" s="52">
        <f t="shared" si="4"/>
        <v>0</v>
      </c>
      <c r="J44" s="52"/>
      <c r="K44" s="115"/>
      <c r="L44" s="54">
        <f t="shared" si="33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687482.77267818223</v>
      </c>
      <c r="E45" s="354">
        <f t="shared" si="29"/>
        <v>59121.815789473687</v>
      </c>
      <c r="F45" s="55">
        <f t="shared" si="30"/>
        <v>628360.95688870852</v>
      </c>
      <c r="G45" s="355">
        <f t="shared" si="31"/>
        <v>133866.01229746867</v>
      </c>
      <c r="H45" s="336">
        <f t="shared" si="32"/>
        <v>133866.01229746867</v>
      </c>
      <c r="I45" s="52">
        <f t="shared" si="4"/>
        <v>0</v>
      </c>
      <c r="J45" s="52"/>
      <c r="K45" s="115"/>
      <c r="L45" s="54">
        <f t="shared" si="33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628360.95688870852</v>
      </c>
      <c r="E46" s="354">
        <f t="shared" si="29"/>
        <v>59121.815789473687</v>
      </c>
      <c r="F46" s="55">
        <f t="shared" si="30"/>
        <v>569239.14109923481</v>
      </c>
      <c r="G46" s="355">
        <f t="shared" si="31"/>
        <v>127149.39007556939</v>
      </c>
      <c r="H46" s="336">
        <f t="shared" si="32"/>
        <v>127149.39007556939</v>
      </c>
      <c r="I46" s="52">
        <f t="shared" si="4"/>
        <v>0</v>
      </c>
      <c r="J46" s="52"/>
      <c r="K46" s="115"/>
      <c r="L46" s="54">
        <f t="shared" si="33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569239.14109923481</v>
      </c>
      <c r="E47" s="354">
        <f t="shared" si="29"/>
        <v>59121.815789473687</v>
      </c>
      <c r="F47" s="55">
        <f t="shared" si="30"/>
        <v>510117.3253097611</v>
      </c>
      <c r="G47" s="355">
        <f t="shared" si="31"/>
        <v>120432.76785367011</v>
      </c>
      <c r="H47" s="336">
        <f t="shared" si="32"/>
        <v>120432.76785367011</v>
      </c>
      <c r="I47" s="52">
        <f t="shared" si="4"/>
        <v>0</v>
      </c>
      <c r="J47" s="52"/>
      <c r="K47" s="115"/>
      <c r="L47" s="54">
        <f t="shared" si="33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510117.3253097611</v>
      </c>
      <c r="E48" s="354">
        <f t="shared" si="29"/>
        <v>59121.815789473687</v>
      </c>
      <c r="F48" s="55">
        <f t="shared" si="30"/>
        <v>450995.50952028739</v>
      </c>
      <c r="G48" s="355">
        <f t="shared" si="31"/>
        <v>113716.14563177084</v>
      </c>
      <c r="H48" s="336">
        <f t="shared" si="32"/>
        <v>113716.14563177084</v>
      </c>
      <c r="I48" s="52">
        <f t="shared" si="4"/>
        <v>0</v>
      </c>
      <c r="J48" s="52"/>
      <c r="K48" s="115"/>
      <c r="L48" s="54">
        <f t="shared" si="33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450995.50952028739</v>
      </c>
      <c r="E49" s="354">
        <f t="shared" si="29"/>
        <v>59121.815789473687</v>
      </c>
      <c r="F49" s="55">
        <f t="shared" si="30"/>
        <v>391873.69373081368</v>
      </c>
      <c r="G49" s="355">
        <f t="shared" si="31"/>
        <v>106999.52340987156</v>
      </c>
      <c r="H49" s="336">
        <f t="shared" si="32"/>
        <v>106999.52340987156</v>
      </c>
      <c r="I49" s="52">
        <f t="shared" si="4"/>
        <v>0</v>
      </c>
      <c r="J49" s="52"/>
      <c r="K49" s="115"/>
      <c r="L49" s="54">
        <f t="shared" si="33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391873.69373081368</v>
      </c>
      <c r="E50" s="354">
        <f t="shared" si="29"/>
        <v>59121.815789473687</v>
      </c>
      <c r="F50" s="55">
        <f t="shared" si="30"/>
        <v>332751.87794133998</v>
      </c>
      <c r="G50" s="355">
        <f t="shared" si="31"/>
        <v>100282.90118797227</v>
      </c>
      <c r="H50" s="336">
        <f t="shared" si="32"/>
        <v>100282.90118797227</v>
      </c>
      <c r="I50" s="52">
        <f t="shared" si="4"/>
        <v>0</v>
      </c>
      <c r="J50" s="52"/>
      <c r="K50" s="115"/>
      <c r="L50" s="54">
        <f t="shared" si="33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332751.87794133998</v>
      </c>
      <c r="E51" s="354">
        <f t="shared" si="29"/>
        <v>59121.815789473687</v>
      </c>
      <c r="F51" s="55">
        <f t="shared" si="30"/>
        <v>273630.06215186627</v>
      </c>
      <c r="G51" s="355">
        <f t="shared" si="31"/>
        <v>93566.278966072976</v>
      </c>
      <c r="H51" s="336">
        <f t="shared" si="32"/>
        <v>93566.278966072976</v>
      </c>
      <c r="I51" s="52">
        <f t="shared" si="4"/>
        <v>0</v>
      </c>
      <c r="J51" s="52"/>
      <c r="K51" s="115"/>
      <c r="L51" s="54">
        <f t="shared" si="33"/>
        <v>0</v>
      </c>
      <c r="M51" s="115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273630.06215186627</v>
      </c>
      <c r="E52" s="354">
        <f t="shared" si="29"/>
        <v>59121.815789473687</v>
      </c>
      <c r="F52" s="55">
        <f t="shared" si="30"/>
        <v>214508.24636239259</v>
      </c>
      <c r="G52" s="355">
        <f t="shared" si="31"/>
        <v>86849.656744173699</v>
      </c>
      <c r="H52" s="336">
        <f t="shared" si="32"/>
        <v>86849.656744173699</v>
      </c>
      <c r="I52" s="52">
        <f t="shared" si="4"/>
        <v>0</v>
      </c>
      <c r="J52" s="52"/>
      <c r="K52" s="115"/>
      <c r="L52" s="54">
        <f t="shared" si="33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214508.24636239259</v>
      </c>
      <c r="E53" s="354">
        <f t="shared" si="29"/>
        <v>59121.815789473687</v>
      </c>
      <c r="F53" s="55">
        <f t="shared" si="30"/>
        <v>155386.43057291891</v>
      </c>
      <c r="G53" s="355">
        <f t="shared" si="31"/>
        <v>80133.034522274422</v>
      </c>
      <c r="H53" s="336">
        <f t="shared" si="32"/>
        <v>80133.034522274422</v>
      </c>
      <c r="I53" s="52">
        <f t="shared" si="4"/>
        <v>0</v>
      </c>
      <c r="J53" s="52"/>
      <c r="K53" s="115"/>
      <c r="L53" s="54">
        <f t="shared" si="33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155386.43057291891</v>
      </c>
      <c r="E54" s="354">
        <f t="shared" si="29"/>
        <v>59121.815789473687</v>
      </c>
      <c r="F54" s="55">
        <f t="shared" si="30"/>
        <v>96264.614783445228</v>
      </c>
      <c r="G54" s="355">
        <f t="shared" si="31"/>
        <v>73416.412300375145</v>
      </c>
      <c r="H54" s="336">
        <f t="shared" si="32"/>
        <v>73416.412300375145</v>
      </c>
      <c r="I54" s="52">
        <f t="shared" si="4"/>
        <v>0</v>
      </c>
      <c r="J54" s="52"/>
      <c r="K54" s="115"/>
      <c r="L54" s="54">
        <f t="shared" si="33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96264.614783445228</v>
      </c>
      <c r="E55" s="354">
        <f t="shared" si="29"/>
        <v>59121.815789473687</v>
      </c>
      <c r="F55" s="55">
        <f t="shared" si="30"/>
        <v>37142.798993971541</v>
      </c>
      <c r="G55" s="355">
        <f t="shared" si="31"/>
        <v>66699.790078475868</v>
      </c>
      <c r="H55" s="336">
        <f t="shared" si="32"/>
        <v>66699.790078475868</v>
      </c>
      <c r="I55" s="52">
        <f t="shared" si="4"/>
        <v>0</v>
      </c>
      <c r="J55" s="52"/>
      <c r="K55" s="115"/>
      <c r="L55" s="54">
        <f t="shared" si="33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37142.798993971541</v>
      </c>
      <c r="E56" s="354">
        <f t="shared" si="29"/>
        <v>37142.798993971541</v>
      </c>
      <c r="F56" s="55">
        <f t="shared" si="30"/>
        <v>0</v>
      </c>
      <c r="G56" s="355">
        <f t="shared" si="31"/>
        <v>39252.630582997808</v>
      </c>
      <c r="H56" s="336">
        <f t="shared" si="32"/>
        <v>39252.630582997808</v>
      </c>
      <c r="I56" s="52">
        <f t="shared" si="4"/>
        <v>0</v>
      </c>
      <c r="J56" s="52"/>
      <c r="K56" s="115"/>
      <c r="L56" s="54">
        <f t="shared" si="33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0</v>
      </c>
      <c r="E57" s="354">
        <f t="shared" si="29"/>
        <v>0</v>
      </c>
      <c r="F57" s="55">
        <f t="shared" si="30"/>
        <v>0</v>
      </c>
      <c r="G57" s="355">
        <f t="shared" si="31"/>
        <v>0</v>
      </c>
      <c r="H57" s="336">
        <f t="shared" si="32"/>
        <v>0</v>
      </c>
      <c r="I57" s="52">
        <f t="shared" si="4"/>
        <v>0</v>
      </c>
      <c r="J57" s="52"/>
      <c r="K57" s="115"/>
      <c r="L57" s="54">
        <f t="shared" si="33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0</v>
      </c>
      <c r="E58" s="354">
        <f t="shared" si="29"/>
        <v>0</v>
      </c>
      <c r="F58" s="55">
        <f t="shared" si="30"/>
        <v>0</v>
      </c>
      <c r="G58" s="355">
        <f t="shared" si="31"/>
        <v>0</v>
      </c>
      <c r="H58" s="336">
        <f t="shared" si="32"/>
        <v>0</v>
      </c>
      <c r="I58" s="52">
        <f t="shared" si="4"/>
        <v>0</v>
      </c>
      <c r="J58" s="52"/>
      <c r="K58" s="115"/>
      <c r="L58" s="54">
        <f t="shared" si="33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0</v>
      </c>
      <c r="E59" s="354">
        <f t="shared" si="29"/>
        <v>0</v>
      </c>
      <c r="F59" s="55">
        <f t="shared" si="30"/>
        <v>0</v>
      </c>
      <c r="G59" s="355">
        <f t="shared" si="31"/>
        <v>0</v>
      </c>
      <c r="H59" s="336">
        <f t="shared" si="32"/>
        <v>0</v>
      </c>
      <c r="I59" s="52">
        <f t="shared" si="4"/>
        <v>0</v>
      </c>
      <c r="J59" s="52"/>
      <c r="K59" s="115"/>
      <c r="L59" s="54">
        <f t="shared" si="33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54">
        <f t="shared" si="29"/>
        <v>0</v>
      </c>
      <c r="F60" s="55">
        <f t="shared" si="30"/>
        <v>0</v>
      </c>
      <c r="G60" s="355">
        <f t="shared" si="31"/>
        <v>0</v>
      </c>
      <c r="H60" s="336">
        <f t="shared" si="32"/>
        <v>0</v>
      </c>
      <c r="I60" s="52">
        <f t="shared" si="4"/>
        <v>0</v>
      </c>
      <c r="J60" s="52"/>
      <c r="K60" s="115"/>
      <c r="L60" s="54">
        <f t="shared" si="33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54">
        <f t="shared" si="29"/>
        <v>0</v>
      </c>
      <c r="F61" s="55">
        <f t="shared" si="30"/>
        <v>0</v>
      </c>
      <c r="G61" s="355">
        <f t="shared" si="31"/>
        <v>0</v>
      </c>
      <c r="H61" s="336">
        <f t="shared" si="32"/>
        <v>0</v>
      </c>
      <c r="I61" s="52">
        <f t="shared" si="4"/>
        <v>0</v>
      </c>
      <c r="J61" s="52"/>
      <c r="K61" s="115"/>
      <c r="L61" s="54">
        <f t="shared" si="33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54">
        <f t="shared" si="29"/>
        <v>0</v>
      </c>
      <c r="F62" s="55">
        <f t="shared" si="30"/>
        <v>0</v>
      </c>
      <c r="G62" s="355">
        <f t="shared" si="31"/>
        <v>0</v>
      </c>
      <c r="H62" s="336">
        <f t="shared" si="32"/>
        <v>0</v>
      </c>
      <c r="I62" s="52">
        <f t="shared" si="4"/>
        <v>0</v>
      </c>
      <c r="J62" s="52"/>
      <c r="K62" s="115"/>
      <c r="L62" s="54">
        <f t="shared" si="33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54">
        <f t="shared" si="29"/>
        <v>0</v>
      </c>
      <c r="F63" s="55">
        <f t="shared" si="30"/>
        <v>0</v>
      </c>
      <c r="G63" s="355">
        <f t="shared" si="31"/>
        <v>0</v>
      </c>
      <c r="H63" s="336">
        <f t="shared" si="32"/>
        <v>0</v>
      </c>
      <c r="I63" s="52">
        <f t="shared" si="4"/>
        <v>0</v>
      </c>
      <c r="J63" s="52"/>
      <c r="K63" s="115"/>
      <c r="L63" s="54">
        <f t="shared" si="33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54">
        <f t="shared" si="29"/>
        <v>0</v>
      </c>
      <c r="F64" s="55">
        <f t="shared" si="30"/>
        <v>0</v>
      </c>
      <c r="G64" s="355">
        <f t="shared" si="31"/>
        <v>0</v>
      </c>
      <c r="H64" s="336">
        <f t="shared" si="32"/>
        <v>0</v>
      </c>
      <c r="I64" s="52">
        <f t="shared" si="4"/>
        <v>0</v>
      </c>
      <c r="J64" s="52"/>
      <c r="K64" s="115"/>
      <c r="L64" s="54">
        <f t="shared" si="33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54">
        <f t="shared" si="29"/>
        <v>0</v>
      </c>
      <c r="F65" s="55">
        <f t="shared" si="30"/>
        <v>0</v>
      </c>
      <c r="G65" s="355">
        <f t="shared" si="31"/>
        <v>0</v>
      </c>
      <c r="H65" s="336">
        <f t="shared" si="32"/>
        <v>0</v>
      </c>
      <c r="I65" s="52">
        <f t="shared" si="4"/>
        <v>0</v>
      </c>
      <c r="J65" s="52"/>
      <c r="K65" s="115"/>
      <c r="L65" s="54">
        <f t="shared" si="33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54">
        <f t="shared" si="29"/>
        <v>0</v>
      </c>
      <c r="F66" s="55">
        <f t="shared" si="30"/>
        <v>0</v>
      </c>
      <c r="G66" s="355">
        <f t="shared" si="31"/>
        <v>0</v>
      </c>
      <c r="H66" s="336">
        <f t="shared" si="32"/>
        <v>0</v>
      </c>
      <c r="I66" s="52">
        <f t="shared" si="4"/>
        <v>0</v>
      </c>
      <c r="J66" s="52"/>
      <c r="K66" s="115"/>
      <c r="L66" s="54">
        <f t="shared" si="33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54">
        <f t="shared" si="29"/>
        <v>0</v>
      </c>
      <c r="F67" s="55">
        <f t="shared" si="30"/>
        <v>0</v>
      </c>
      <c r="G67" s="355">
        <f t="shared" si="31"/>
        <v>0</v>
      </c>
      <c r="H67" s="336">
        <f t="shared" si="32"/>
        <v>0</v>
      </c>
      <c r="I67" s="52">
        <f t="shared" si="4"/>
        <v>0</v>
      </c>
      <c r="J67" s="52"/>
      <c r="K67" s="115"/>
      <c r="L67" s="54">
        <f t="shared" si="33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54">
        <f t="shared" si="29"/>
        <v>0</v>
      </c>
      <c r="F68" s="55">
        <f t="shared" si="30"/>
        <v>0</v>
      </c>
      <c r="G68" s="355">
        <f t="shared" si="31"/>
        <v>0</v>
      </c>
      <c r="H68" s="336">
        <f t="shared" si="32"/>
        <v>0</v>
      </c>
      <c r="I68" s="52">
        <f t="shared" si="4"/>
        <v>0</v>
      </c>
      <c r="J68" s="52"/>
      <c r="K68" s="115"/>
      <c r="L68" s="54">
        <f t="shared" si="33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54">
        <f t="shared" si="29"/>
        <v>0</v>
      </c>
      <c r="F69" s="55">
        <f t="shared" si="30"/>
        <v>0</v>
      </c>
      <c r="G69" s="355">
        <f t="shared" si="31"/>
        <v>0</v>
      </c>
      <c r="H69" s="336">
        <f t="shared" si="32"/>
        <v>0</v>
      </c>
      <c r="I69" s="52">
        <f t="shared" si="4"/>
        <v>0</v>
      </c>
      <c r="J69" s="52"/>
      <c r="K69" s="115"/>
      <c r="L69" s="54">
        <f t="shared" si="33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54">
        <f t="shared" si="29"/>
        <v>0</v>
      </c>
      <c r="F70" s="55">
        <f t="shared" si="30"/>
        <v>0</v>
      </c>
      <c r="G70" s="355">
        <f t="shared" si="31"/>
        <v>0</v>
      </c>
      <c r="H70" s="336">
        <f t="shared" si="32"/>
        <v>0</v>
      </c>
      <c r="I70" s="52">
        <f t="shared" si="4"/>
        <v>0</v>
      </c>
      <c r="J70" s="52"/>
      <c r="K70" s="115"/>
      <c r="L70" s="54">
        <f t="shared" si="33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54">
        <f t="shared" si="29"/>
        <v>0</v>
      </c>
      <c r="F71" s="55">
        <f t="shared" si="30"/>
        <v>0</v>
      </c>
      <c r="G71" s="355">
        <f t="shared" si="31"/>
        <v>0</v>
      </c>
      <c r="H71" s="336">
        <f t="shared" si="32"/>
        <v>0</v>
      </c>
      <c r="I71" s="52">
        <f t="shared" si="4"/>
        <v>0</v>
      </c>
      <c r="J71" s="52"/>
      <c r="K71" s="115"/>
      <c r="L71" s="54">
        <f t="shared" si="33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3"/>
        <v/>
      </c>
      <c r="C72" s="58">
        <f>IF(D11="","-",+C71+1)</f>
        <v>2069</v>
      </c>
      <c r="D72" s="59">
        <f>IF(F71+SUM(E$17:E71)=D$10,F71,D$10-SUM(E$17:E71))</f>
        <v>0</v>
      </c>
      <c r="E72" s="357">
        <f t="shared" si="29"/>
        <v>0</v>
      </c>
      <c r="F72" s="59">
        <f t="shared" si="30"/>
        <v>0</v>
      </c>
      <c r="G72" s="59">
        <f t="shared" si="31"/>
        <v>0</v>
      </c>
      <c r="H72" s="59">
        <f t="shared" si="32"/>
        <v>0</v>
      </c>
      <c r="I72" s="62">
        <f t="shared" si="4"/>
        <v>0</v>
      </c>
      <c r="J72" s="59"/>
      <c r="K72" s="116"/>
      <c r="L72" s="62">
        <f t="shared" si="33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>
      <c r="C73" s="12" t="s">
        <v>77</v>
      </c>
      <c r="D73" s="266"/>
      <c r="E73" s="266">
        <f>SUM(E17:E72)</f>
        <v>2246629</v>
      </c>
      <c r="F73" s="266"/>
      <c r="G73" s="266">
        <f>SUM(G17:G72)</f>
        <v>7631509.8304645298</v>
      </c>
      <c r="H73" s="266">
        <f>SUM(H17:H72)</f>
        <v>7631509.8304645298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15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244689.81578947368</v>
      </c>
      <c r="N87" s="364">
        <f>IF(J92&lt;D11,0,VLOOKUP(J92,C17:O72,11))</f>
        <v>244689.81578947368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257837.32855182473</v>
      </c>
      <c r="N88" s="367">
        <f>IF(J92&lt;D11,0,VLOOKUP(J92,C99:P154,7))</f>
        <v>257837.32855182473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Locust Grove to Lone Star 115 kV Rebuild 2.1 miles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13147.512762351049</v>
      </c>
      <c r="N89" s="369">
        <f>+N88-N87</f>
        <v>13147.512762351049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TP2009093</v>
      </c>
      <c r="E91" s="74" t="str">
        <f>E9</f>
        <v xml:space="preserve">  SPP Project ID = 649</v>
      </c>
      <c r="F91" s="74"/>
      <c r="G91" s="74"/>
      <c r="H91" s="74"/>
      <c r="I91" s="74"/>
      <c r="J91" s="74"/>
    </row>
    <row r="92" spans="1:16">
      <c r="C92" s="128" t="s">
        <v>226</v>
      </c>
      <c r="D92" s="335">
        <v>2246629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507">
        <f>D11</f>
        <v>2014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D12</f>
        <v>2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60720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2014</v>
      </c>
      <c r="D99" s="411">
        <v>0</v>
      </c>
      <c r="E99" s="412">
        <v>36003.333333333336</v>
      </c>
      <c r="F99" s="413">
        <v>2210625.2366666663</v>
      </c>
      <c r="G99" s="429">
        <v>1105312.6183333332</v>
      </c>
      <c r="H99" s="430">
        <v>191405.76922123961</v>
      </c>
      <c r="I99" s="431">
        <v>191405.76922123961</v>
      </c>
      <c r="J99" s="54">
        <v>0</v>
      </c>
      <c r="K99" s="54"/>
      <c r="L99" s="350">
        <f t="shared" ref="L99:L104" si="34">H99</f>
        <v>191405.76922123961</v>
      </c>
      <c r="M99" s="63">
        <f t="shared" ref="M99:M104" si="35">IF(L99&lt;&gt;0,+H99-L99,0)</f>
        <v>0</v>
      </c>
      <c r="N99" s="350">
        <f t="shared" ref="N99:N104" si="36">I99</f>
        <v>191405.76922123961</v>
      </c>
      <c r="O99" s="52">
        <f>IF(N99&lt;&gt;0,+I99-N99,0)</f>
        <v>0</v>
      </c>
      <c r="P99" s="54">
        <f>+O99-M99</f>
        <v>0</v>
      </c>
    </row>
    <row r="100" spans="1:16">
      <c r="B100" s="7" t="str">
        <f>IF(D100=F99,"","IU")</f>
        <v/>
      </c>
      <c r="C100" s="50">
        <f>IF(D93="","-",+C99+1)</f>
        <v>2015</v>
      </c>
      <c r="D100" s="411">
        <v>2210625.2366666663</v>
      </c>
      <c r="E100" s="412">
        <v>43204</v>
      </c>
      <c r="F100" s="413">
        <v>2167421.2366666663</v>
      </c>
      <c r="G100" s="413">
        <v>2189023.2366666663</v>
      </c>
      <c r="H100" s="430">
        <v>341878.62002899748</v>
      </c>
      <c r="I100" s="431">
        <v>341878.62002899748</v>
      </c>
      <c r="J100" s="54">
        <f>+I100-H100</f>
        <v>0</v>
      </c>
      <c r="K100" s="54"/>
      <c r="L100" s="350">
        <f t="shared" si="34"/>
        <v>341878.62002899748</v>
      </c>
      <c r="M100" s="63">
        <f t="shared" si="35"/>
        <v>0</v>
      </c>
      <c r="N100" s="350">
        <f t="shared" si="36"/>
        <v>341878.62002899748</v>
      </c>
      <c r="O100" s="52">
        <f>IF(N100&lt;&gt;0,+I100-N100,0)</f>
        <v>0</v>
      </c>
      <c r="P100" s="54">
        <f>+O100-M100</f>
        <v>0</v>
      </c>
    </row>
    <row r="101" spans="1:16">
      <c r="B101" s="7" t="str">
        <f t="shared" ref="B101:B154" si="37">IF(D101=F100,"","IU")</f>
        <v/>
      </c>
      <c r="C101" s="50">
        <f>IF(D93="","-",+C100+1)</f>
        <v>2016</v>
      </c>
      <c r="D101" s="411">
        <v>2167421.2366666663</v>
      </c>
      <c r="E101" s="412">
        <v>48840</v>
      </c>
      <c r="F101" s="413">
        <v>2118581.2366666663</v>
      </c>
      <c r="G101" s="413">
        <v>2143001.2366666663</v>
      </c>
      <c r="H101" s="430">
        <v>325106.60926354182</v>
      </c>
      <c r="I101" s="431">
        <v>325106.60926354182</v>
      </c>
      <c r="J101" s="54">
        <f t="shared" ref="J101:J154" si="38">+I101-H101</f>
        <v>0</v>
      </c>
      <c r="K101" s="54"/>
      <c r="L101" s="350">
        <f t="shared" si="34"/>
        <v>325106.60926354182</v>
      </c>
      <c r="M101" s="63">
        <f t="shared" si="35"/>
        <v>0</v>
      </c>
      <c r="N101" s="350">
        <f t="shared" si="36"/>
        <v>325106.60926354182</v>
      </c>
      <c r="O101" s="52">
        <f>IF(N101&lt;&gt;0,+I101-N101,0)</f>
        <v>0</v>
      </c>
      <c r="P101" s="54">
        <f>+O101-M101</f>
        <v>0</v>
      </c>
    </row>
    <row r="102" spans="1:16">
      <c r="B102" s="7" t="str">
        <f t="shared" si="37"/>
        <v/>
      </c>
      <c r="C102" s="50">
        <f>IF(D93="","-",+C101+1)</f>
        <v>2017</v>
      </c>
      <c r="D102" s="411">
        <v>2118581.2366666663</v>
      </c>
      <c r="E102" s="412">
        <v>48840</v>
      </c>
      <c r="F102" s="413">
        <v>2069741.2366666663</v>
      </c>
      <c r="G102" s="413">
        <v>2094161.2366666663</v>
      </c>
      <c r="H102" s="430">
        <v>314489.63330060086</v>
      </c>
      <c r="I102" s="431">
        <v>314489.63330060086</v>
      </c>
      <c r="J102" s="54">
        <f t="shared" si="38"/>
        <v>0</v>
      </c>
      <c r="K102" s="54"/>
      <c r="L102" s="350">
        <f t="shared" si="34"/>
        <v>314489.63330060086</v>
      </c>
      <c r="M102" s="63">
        <f t="shared" si="35"/>
        <v>0</v>
      </c>
      <c r="N102" s="350">
        <f t="shared" si="36"/>
        <v>314489.63330060086</v>
      </c>
      <c r="O102" s="52">
        <f>IF(N102&lt;&gt;0,+I102-N102,0)</f>
        <v>0</v>
      </c>
      <c r="P102" s="54">
        <f>+O102-M102</f>
        <v>0</v>
      </c>
    </row>
    <row r="103" spans="1:16">
      <c r="B103" s="7" t="str">
        <f t="shared" si="37"/>
        <v/>
      </c>
      <c r="C103" s="50">
        <f>IF(D93="","-",+C102+1)</f>
        <v>2018</v>
      </c>
      <c r="D103" s="411">
        <v>2069741.2366666663</v>
      </c>
      <c r="E103" s="412">
        <v>52247</v>
      </c>
      <c r="F103" s="413">
        <v>2017494.2366666663</v>
      </c>
      <c r="G103" s="413">
        <v>2043617.7366666663</v>
      </c>
      <c r="H103" s="430">
        <v>262199.22655399318</v>
      </c>
      <c r="I103" s="431">
        <v>262199.22655399318</v>
      </c>
      <c r="J103" s="54">
        <f t="shared" si="38"/>
        <v>0</v>
      </c>
      <c r="K103" s="54"/>
      <c r="L103" s="350">
        <f t="shared" si="34"/>
        <v>262199.22655399318</v>
      </c>
      <c r="M103" s="63">
        <f t="shared" si="35"/>
        <v>0</v>
      </c>
      <c r="N103" s="350">
        <f t="shared" si="36"/>
        <v>262199.22655399318</v>
      </c>
      <c r="O103" s="52">
        <f>IF(N103&lt;&gt;0,+I103-N103,0)</f>
        <v>0</v>
      </c>
      <c r="P103" s="54">
        <f>+O103-M103</f>
        <v>0</v>
      </c>
    </row>
    <row r="104" spans="1:16">
      <c r="B104" s="7" t="str">
        <f t="shared" si="37"/>
        <v/>
      </c>
      <c r="C104" s="50">
        <f>IF(D93="","-",+C103+1)</f>
        <v>2019</v>
      </c>
      <c r="D104" s="411">
        <v>2017494.2366666663</v>
      </c>
      <c r="E104" s="412">
        <v>54796</v>
      </c>
      <c r="F104" s="413">
        <v>1962698.2366666663</v>
      </c>
      <c r="G104" s="413">
        <v>1990096.2366666663</v>
      </c>
      <c r="H104" s="430">
        <v>260002.83525061089</v>
      </c>
      <c r="I104" s="431">
        <v>260002.83525061089</v>
      </c>
      <c r="J104" s="54">
        <f t="shared" si="38"/>
        <v>0</v>
      </c>
      <c r="K104" s="54"/>
      <c r="L104" s="350">
        <f t="shared" si="34"/>
        <v>260002.83525061089</v>
      </c>
      <c r="M104" s="63">
        <f t="shared" si="35"/>
        <v>0</v>
      </c>
      <c r="N104" s="350">
        <f t="shared" si="36"/>
        <v>260002.83525061089</v>
      </c>
      <c r="O104" s="54">
        <f t="shared" ref="O104:O130" si="39">IF(N104&lt;&gt;0,+I104-N104,0)</f>
        <v>0</v>
      </c>
      <c r="P104" s="54">
        <f t="shared" ref="P104:P130" si="40">+O104-M104</f>
        <v>0</v>
      </c>
    </row>
    <row r="105" spans="1:16">
      <c r="B105" s="7" t="str">
        <f t="shared" si="37"/>
        <v/>
      </c>
      <c r="C105" s="50">
        <f>IF(D93="","-",+C104+1)</f>
        <v>2020</v>
      </c>
      <c r="D105" s="411">
        <v>1962698.2366666663</v>
      </c>
      <c r="E105" s="412">
        <v>52247</v>
      </c>
      <c r="F105" s="413">
        <v>1910451.2366666663</v>
      </c>
      <c r="G105" s="413">
        <v>1936574.7366666663</v>
      </c>
      <c r="H105" s="430">
        <v>275528.74296443292</v>
      </c>
      <c r="I105" s="431">
        <v>275528.74296443292</v>
      </c>
      <c r="J105" s="54">
        <f t="shared" si="38"/>
        <v>0</v>
      </c>
      <c r="K105" s="54"/>
      <c r="L105" s="350">
        <f t="shared" ref="L105" si="41">H105</f>
        <v>275528.74296443292</v>
      </c>
      <c r="M105" s="63">
        <f t="shared" ref="M105" si="42">IF(L105&lt;&gt;0,+H105-L105,0)</f>
        <v>0</v>
      </c>
      <c r="N105" s="350">
        <f t="shared" ref="N105" si="43">I105</f>
        <v>275528.74296443292</v>
      </c>
      <c r="O105" s="54">
        <f t="shared" si="39"/>
        <v>0</v>
      </c>
      <c r="P105" s="54">
        <f t="shared" si="40"/>
        <v>0</v>
      </c>
    </row>
    <row r="106" spans="1:16">
      <c r="B106" s="7" t="str">
        <f t="shared" si="37"/>
        <v/>
      </c>
      <c r="C106" s="50">
        <f>IF(D93="","-",+C105+1)</f>
        <v>2021</v>
      </c>
      <c r="D106" s="411">
        <v>1910451.2366666663</v>
      </c>
      <c r="E106" s="412">
        <v>54796</v>
      </c>
      <c r="F106" s="413">
        <v>1855655.2366666663</v>
      </c>
      <c r="G106" s="413">
        <v>1883053.2366666663</v>
      </c>
      <c r="H106" s="430">
        <v>269073.88722723804</v>
      </c>
      <c r="I106" s="431">
        <v>269073.88722723804</v>
      </c>
      <c r="J106" s="54">
        <f t="shared" si="38"/>
        <v>0</v>
      </c>
      <c r="K106" s="54"/>
      <c r="L106" s="350">
        <f t="shared" ref="L106" si="44">H106</f>
        <v>269073.88722723804</v>
      </c>
      <c r="M106" s="63">
        <f t="shared" ref="M106" si="45">IF(L106&lt;&gt;0,+H106-L106,0)</f>
        <v>0</v>
      </c>
      <c r="N106" s="350">
        <f t="shared" ref="N106" si="46">I106</f>
        <v>269073.88722723804</v>
      </c>
      <c r="O106" s="54">
        <f t="shared" si="39"/>
        <v>0</v>
      </c>
      <c r="P106" s="54">
        <f t="shared" si="40"/>
        <v>0</v>
      </c>
    </row>
    <row r="107" spans="1:16">
      <c r="B107" s="7" t="str">
        <f t="shared" si="37"/>
        <v/>
      </c>
      <c r="C107" s="50">
        <f>IF(D93="","-",+C106+1)</f>
        <v>2022</v>
      </c>
      <c r="D107" s="411">
        <v>1855655.2366666663</v>
      </c>
      <c r="E107" s="412">
        <v>57606</v>
      </c>
      <c r="F107" s="413">
        <v>1798049.2366666663</v>
      </c>
      <c r="G107" s="413">
        <v>1826852.2366666663</v>
      </c>
      <c r="H107" s="430">
        <v>258893.42584774771</v>
      </c>
      <c r="I107" s="431">
        <v>258893.42584774771</v>
      </c>
      <c r="J107" s="54">
        <f t="shared" si="38"/>
        <v>0</v>
      </c>
      <c r="K107" s="54"/>
      <c r="L107" s="350">
        <f t="shared" ref="L107" si="47">H107</f>
        <v>258893.42584774771</v>
      </c>
      <c r="M107" s="63">
        <f t="shared" ref="M107" si="48">IF(L107&lt;&gt;0,+H107-L107,0)</f>
        <v>0</v>
      </c>
      <c r="N107" s="350">
        <f t="shared" ref="N107" si="49">I107</f>
        <v>258893.42584774771</v>
      </c>
      <c r="O107" s="54">
        <f t="shared" ref="O107" si="50">IF(N107&lt;&gt;0,+I107-N107,0)</f>
        <v>0</v>
      </c>
      <c r="P107" s="54">
        <f t="shared" ref="P107" si="51">+O107-M107</f>
        <v>0</v>
      </c>
    </row>
    <row r="108" spans="1:16">
      <c r="B108" s="7" t="str">
        <f t="shared" si="37"/>
        <v>IU</v>
      </c>
      <c r="C108" s="50">
        <f>IF(D93="","-",+C107+1)</f>
        <v>2023</v>
      </c>
      <c r="D108" s="411">
        <v>1798049.6666666665</v>
      </c>
      <c r="E108" s="412">
        <v>59122</v>
      </c>
      <c r="F108" s="413">
        <v>1738927.6666666665</v>
      </c>
      <c r="G108" s="413">
        <v>1768488.6666666665</v>
      </c>
      <c r="H108" s="430">
        <v>261131.24875530892</v>
      </c>
      <c r="I108" s="431">
        <v>261131.24875530892</v>
      </c>
      <c r="J108" s="54">
        <f t="shared" si="38"/>
        <v>0</v>
      </c>
      <c r="K108" s="54"/>
      <c r="L108" s="350">
        <f t="shared" ref="L108" si="52">H108</f>
        <v>261131.24875530892</v>
      </c>
      <c r="M108" s="63">
        <f t="shared" ref="M108" si="53">IF(L108&lt;&gt;0,+H108-L108,0)</f>
        <v>0</v>
      </c>
      <c r="N108" s="350">
        <f t="shared" ref="N108" si="54">I108</f>
        <v>261131.24875530892</v>
      </c>
      <c r="O108" s="54">
        <f t="shared" ref="O108" si="55">IF(N108&lt;&gt;0,+I108-N108,0)</f>
        <v>0</v>
      </c>
      <c r="P108" s="54">
        <f t="shared" ref="P108" si="56">+O108-M108</f>
        <v>0</v>
      </c>
    </row>
    <row r="109" spans="1:16">
      <c r="B109" s="7" t="str">
        <f t="shared" si="37"/>
        <v/>
      </c>
      <c r="C109" s="50">
        <f>IF(D93="","-",+C108+1)</f>
        <v>2024</v>
      </c>
      <c r="D109" s="411">
        <v>1738927.6666666665</v>
      </c>
      <c r="E109" s="412">
        <v>60720</v>
      </c>
      <c r="F109" s="413">
        <v>1678207.6666666665</v>
      </c>
      <c r="G109" s="413">
        <v>1708567.6666666665</v>
      </c>
      <c r="H109" s="430">
        <v>290212.6045198249</v>
      </c>
      <c r="I109" s="431">
        <v>290212.6045198249</v>
      </c>
      <c r="J109" s="54">
        <f t="shared" si="38"/>
        <v>0</v>
      </c>
      <c r="K109" s="54"/>
      <c r="L109" s="350">
        <f t="shared" ref="L109" si="57">H109</f>
        <v>290212.6045198249</v>
      </c>
      <c r="M109" s="63">
        <f t="shared" ref="M109" si="58">IF(L109&lt;&gt;0,+H109-L109,0)</f>
        <v>0</v>
      </c>
      <c r="N109" s="350">
        <f t="shared" ref="N109" si="59">I109</f>
        <v>290212.6045198249</v>
      </c>
      <c r="O109" s="54">
        <f t="shared" ref="O109" si="60">IF(N109&lt;&gt;0,+I109-N109,0)</f>
        <v>0</v>
      </c>
      <c r="P109" s="54">
        <f t="shared" ref="P109" si="61">+O109-M109</f>
        <v>0</v>
      </c>
    </row>
    <row r="110" spans="1:16">
      <c r="B110" s="7" t="str">
        <f t="shared" si="37"/>
        <v/>
      </c>
      <c r="C110" s="50">
        <f>IF(D93="","-",+C109+1)</f>
        <v>2025</v>
      </c>
      <c r="D110" s="12">
        <f>IF(F109+SUM(E$99:E109)=D$92,F109,D$92-SUM(E$99:E109))</f>
        <v>1678207.6666666665</v>
      </c>
      <c r="E110" s="354">
        <f t="shared" ref="E110:E154" si="62">IF(+J$96&lt;F109,J$96,D110)</f>
        <v>60720</v>
      </c>
      <c r="F110" s="55">
        <f t="shared" ref="F110:F154" si="63">+D110-E110</f>
        <v>1617487.6666666665</v>
      </c>
      <c r="G110" s="55">
        <f t="shared" ref="G110:G154" si="64">+(F110+D110)/2</f>
        <v>1647847.6666666665</v>
      </c>
      <c r="H110" s="355">
        <f t="shared" ref="H110:H153" si="65">(D110+F110)/2*J$94+E110</f>
        <v>257837.32855182473</v>
      </c>
      <c r="I110" s="381">
        <f t="shared" ref="I110:I153" si="66">+J$95*G110+E110</f>
        <v>257837.32855182473</v>
      </c>
      <c r="J110" s="54">
        <f t="shared" si="38"/>
        <v>0</v>
      </c>
      <c r="K110" s="54"/>
      <c r="L110" s="115"/>
      <c r="M110" s="54">
        <f t="shared" ref="M110:M130" si="67">IF(L110&lt;&gt;0,+H110-L110,0)</f>
        <v>0</v>
      </c>
      <c r="N110" s="115"/>
      <c r="O110" s="54">
        <f t="shared" si="39"/>
        <v>0</v>
      </c>
      <c r="P110" s="54">
        <f t="shared" si="40"/>
        <v>0</v>
      </c>
    </row>
    <row r="111" spans="1:16">
      <c r="B111" s="7" t="str">
        <f t="shared" si="37"/>
        <v/>
      </c>
      <c r="C111" s="50">
        <f>IF(D93="","-",+C110+1)</f>
        <v>2026</v>
      </c>
      <c r="D111" s="12">
        <f>IF(F110+SUM(E$99:E110)=D$92,F110,D$92-SUM(E$99:E110))</f>
        <v>1617487.6666666665</v>
      </c>
      <c r="E111" s="354">
        <f t="shared" si="62"/>
        <v>60720</v>
      </c>
      <c r="F111" s="55">
        <f t="shared" si="63"/>
        <v>1556767.6666666665</v>
      </c>
      <c r="G111" s="55">
        <f t="shared" si="64"/>
        <v>1587127.6666666665</v>
      </c>
      <c r="H111" s="355">
        <f t="shared" si="65"/>
        <v>250573.93616927633</v>
      </c>
      <c r="I111" s="381">
        <f t="shared" si="66"/>
        <v>250573.93616927633</v>
      </c>
      <c r="J111" s="54">
        <f t="shared" si="38"/>
        <v>0</v>
      </c>
      <c r="K111" s="54"/>
      <c r="L111" s="115"/>
      <c r="M111" s="54">
        <f t="shared" si="67"/>
        <v>0</v>
      </c>
      <c r="N111" s="115"/>
      <c r="O111" s="54">
        <f t="shared" si="39"/>
        <v>0</v>
      </c>
      <c r="P111" s="54">
        <f t="shared" si="40"/>
        <v>0</v>
      </c>
    </row>
    <row r="112" spans="1:16">
      <c r="B112" s="7" t="str">
        <f t="shared" si="37"/>
        <v/>
      </c>
      <c r="C112" s="50">
        <f>IF(D93="","-",+C111+1)</f>
        <v>2027</v>
      </c>
      <c r="D112" s="12">
        <f>IF(F111+SUM(E$99:E111)=D$92,F111,D$92-SUM(E$99:E111))</f>
        <v>1556767.6666666665</v>
      </c>
      <c r="E112" s="354">
        <f t="shared" si="62"/>
        <v>60720</v>
      </c>
      <c r="F112" s="55">
        <f t="shared" si="63"/>
        <v>1496047.6666666665</v>
      </c>
      <c r="G112" s="55">
        <f t="shared" si="64"/>
        <v>1526407.6666666665</v>
      </c>
      <c r="H112" s="355">
        <f t="shared" si="65"/>
        <v>243310.54378672794</v>
      </c>
      <c r="I112" s="381">
        <f t="shared" si="66"/>
        <v>243310.54378672794</v>
      </c>
      <c r="J112" s="54">
        <f t="shared" si="38"/>
        <v>0</v>
      </c>
      <c r="K112" s="54"/>
      <c r="L112" s="115"/>
      <c r="M112" s="54">
        <f t="shared" si="67"/>
        <v>0</v>
      </c>
      <c r="N112" s="115"/>
      <c r="O112" s="54">
        <f t="shared" si="39"/>
        <v>0</v>
      </c>
      <c r="P112" s="54">
        <f t="shared" si="40"/>
        <v>0</v>
      </c>
    </row>
    <row r="113" spans="2:16">
      <c r="B113" s="7" t="str">
        <f t="shared" si="37"/>
        <v/>
      </c>
      <c r="C113" s="50">
        <f>IF(D93="","-",+C112+1)</f>
        <v>2028</v>
      </c>
      <c r="D113" s="12">
        <f>IF(F112+SUM(E$99:E112)=D$92,F112,D$92-SUM(E$99:E112))</f>
        <v>1496047.6666666665</v>
      </c>
      <c r="E113" s="354">
        <f t="shared" si="62"/>
        <v>60720</v>
      </c>
      <c r="F113" s="55">
        <f t="shared" si="63"/>
        <v>1435327.6666666665</v>
      </c>
      <c r="G113" s="55">
        <f t="shared" si="64"/>
        <v>1465687.6666666665</v>
      </c>
      <c r="H113" s="355">
        <f t="shared" si="65"/>
        <v>236047.15140417957</v>
      </c>
      <c r="I113" s="381">
        <f t="shared" si="66"/>
        <v>236047.15140417957</v>
      </c>
      <c r="J113" s="54">
        <f t="shared" si="38"/>
        <v>0</v>
      </c>
      <c r="K113" s="54"/>
      <c r="L113" s="115"/>
      <c r="M113" s="54">
        <f t="shared" si="67"/>
        <v>0</v>
      </c>
      <c r="N113" s="115"/>
      <c r="O113" s="54">
        <f t="shared" si="39"/>
        <v>0</v>
      </c>
      <c r="P113" s="54">
        <f t="shared" si="40"/>
        <v>0</v>
      </c>
    </row>
    <row r="114" spans="2:16">
      <c r="B114" s="7" t="str">
        <f t="shared" si="37"/>
        <v/>
      </c>
      <c r="C114" s="50">
        <f>IF(D93="","-",+C113+1)</f>
        <v>2029</v>
      </c>
      <c r="D114" s="12">
        <f>IF(F113+SUM(E$99:E113)=D$92,F113,D$92-SUM(E$99:E113))</f>
        <v>1435327.6666666665</v>
      </c>
      <c r="E114" s="354">
        <f t="shared" si="62"/>
        <v>60720</v>
      </c>
      <c r="F114" s="55">
        <f t="shared" si="63"/>
        <v>1374607.6666666665</v>
      </c>
      <c r="G114" s="55">
        <f t="shared" si="64"/>
        <v>1404967.6666666665</v>
      </c>
      <c r="H114" s="355">
        <f t="shared" si="65"/>
        <v>228783.75902163118</v>
      </c>
      <c r="I114" s="381">
        <f t="shared" si="66"/>
        <v>228783.75902163118</v>
      </c>
      <c r="J114" s="54">
        <f t="shared" si="38"/>
        <v>0</v>
      </c>
      <c r="K114" s="54"/>
      <c r="L114" s="115"/>
      <c r="M114" s="54">
        <f t="shared" si="67"/>
        <v>0</v>
      </c>
      <c r="N114" s="115"/>
      <c r="O114" s="54">
        <f t="shared" si="39"/>
        <v>0</v>
      </c>
      <c r="P114" s="54">
        <f t="shared" si="40"/>
        <v>0</v>
      </c>
    </row>
    <row r="115" spans="2:16">
      <c r="B115" s="7" t="str">
        <f t="shared" si="37"/>
        <v/>
      </c>
      <c r="C115" s="50">
        <f>IF(D93="","-",+C114+1)</f>
        <v>2030</v>
      </c>
      <c r="D115" s="12">
        <f>IF(F114+SUM(E$99:E114)=D$92,F114,D$92-SUM(E$99:E114))</f>
        <v>1374607.6666666665</v>
      </c>
      <c r="E115" s="354">
        <f t="shared" si="62"/>
        <v>60720</v>
      </c>
      <c r="F115" s="55">
        <f t="shared" si="63"/>
        <v>1313887.6666666665</v>
      </c>
      <c r="G115" s="55">
        <f t="shared" si="64"/>
        <v>1344247.6666666665</v>
      </c>
      <c r="H115" s="355">
        <f t="shared" si="65"/>
        <v>221520.36663908279</v>
      </c>
      <c r="I115" s="381">
        <f t="shared" si="66"/>
        <v>221520.36663908279</v>
      </c>
      <c r="J115" s="54">
        <f t="shared" si="38"/>
        <v>0</v>
      </c>
      <c r="K115" s="54"/>
      <c r="L115" s="115"/>
      <c r="M115" s="54">
        <f t="shared" si="67"/>
        <v>0</v>
      </c>
      <c r="N115" s="115"/>
      <c r="O115" s="54">
        <f t="shared" si="39"/>
        <v>0</v>
      </c>
      <c r="P115" s="54">
        <f t="shared" si="40"/>
        <v>0</v>
      </c>
    </row>
    <row r="116" spans="2:16">
      <c r="B116" s="7" t="str">
        <f t="shared" si="37"/>
        <v/>
      </c>
      <c r="C116" s="50">
        <f>IF(D93="","-",+C115+1)</f>
        <v>2031</v>
      </c>
      <c r="D116" s="12">
        <f>IF(F115+SUM(E$99:E115)=D$92,F115,D$92-SUM(E$99:E115))</f>
        <v>1313887.6666666665</v>
      </c>
      <c r="E116" s="354">
        <f t="shared" si="62"/>
        <v>60720</v>
      </c>
      <c r="F116" s="55">
        <f t="shared" si="63"/>
        <v>1253167.6666666665</v>
      </c>
      <c r="G116" s="55">
        <f t="shared" si="64"/>
        <v>1283527.6666666665</v>
      </c>
      <c r="H116" s="355">
        <f t="shared" si="65"/>
        <v>214256.97425653439</v>
      </c>
      <c r="I116" s="381">
        <f t="shared" si="66"/>
        <v>214256.97425653439</v>
      </c>
      <c r="J116" s="54">
        <f t="shared" si="38"/>
        <v>0</v>
      </c>
      <c r="K116" s="54"/>
      <c r="L116" s="115"/>
      <c r="M116" s="54">
        <f t="shared" si="67"/>
        <v>0</v>
      </c>
      <c r="N116" s="115"/>
      <c r="O116" s="54">
        <f t="shared" si="39"/>
        <v>0</v>
      </c>
      <c r="P116" s="54">
        <f t="shared" si="40"/>
        <v>0</v>
      </c>
    </row>
    <row r="117" spans="2:16">
      <c r="B117" s="7" t="str">
        <f t="shared" si="37"/>
        <v/>
      </c>
      <c r="C117" s="50">
        <f>IF(D93="","-",+C116+1)</f>
        <v>2032</v>
      </c>
      <c r="D117" s="12">
        <f>IF(F116+SUM(E$99:E116)=D$92,F116,D$92-SUM(E$99:E116))</f>
        <v>1253167.6666666665</v>
      </c>
      <c r="E117" s="354">
        <f t="shared" si="62"/>
        <v>60720</v>
      </c>
      <c r="F117" s="55">
        <f t="shared" si="63"/>
        <v>1192447.6666666665</v>
      </c>
      <c r="G117" s="55">
        <f t="shared" si="64"/>
        <v>1222807.6666666665</v>
      </c>
      <c r="H117" s="355">
        <f t="shared" si="65"/>
        <v>206993.58187398603</v>
      </c>
      <c r="I117" s="381">
        <f t="shared" si="66"/>
        <v>206993.58187398603</v>
      </c>
      <c r="J117" s="54">
        <f t="shared" si="38"/>
        <v>0</v>
      </c>
      <c r="K117" s="54"/>
      <c r="L117" s="115"/>
      <c r="M117" s="54">
        <f t="shared" si="67"/>
        <v>0</v>
      </c>
      <c r="N117" s="115"/>
      <c r="O117" s="54">
        <f t="shared" si="39"/>
        <v>0</v>
      </c>
      <c r="P117" s="54">
        <f t="shared" si="40"/>
        <v>0</v>
      </c>
    </row>
    <row r="118" spans="2:16">
      <c r="B118" s="7" t="str">
        <f t="shared" si="37"/>
        <v/>
      </c>
      <c r="C118" s="50">
        <f>IF(D93="","-",+C117+1)</f>
        <v>2033</v>
      </c>
      <c r="D118" s="12">
        <f>IF(F117+SUM(E$99:E117)=D$92,F117,D$92-SUM(E$99:E117))</f>
        <v>1192447.6666666665</v>
      </c>
      <c r="E118" s="354">
        <f t="shared" si="62"/>
        <v>60720</v>
      </c>
      <c r="F118" s="55">
        <f t="shared" si="63"/>
        <v>1131727.6666666665</v>
      </c>
      <c r="G118" s="55">
        <f t="shared" si="64"/>
        <v>1162087.6666666665</v>
      </c>
      <c r="H118" s="355">
        <f t="shared" si="65"/>
        <v>199730.18949143763</v>
      </c>
      <c r="I118" s="381">
        <f t="shared" si="66"/>
        <v>199730.18949143763</v>
      </c>
      <c r="J118" s="54">
        <f t="shared" si="38"/>
        <v>0</v>
      </c>
      <c r="K118" s="54"/>
      <c r="L118" s="115"/>
      <c r="M118" s="54">
        <f t="shared" si="67"/>
        <v>0</v>
      </c>
      <c r="N118" s="115"/>
      <c r="O118" s="54">
        <f t="shared" si="39"/>
        <v>0</v>
      </c>
      <c r="P118" s="54">
        <f t="shared" si="40"/>
        <v>0</v>
      </c>
    </row>
    <row r="119" spans="2:16">
      <c r="B119" s="7" t="str">
        <f t="shared" si="37"/>
        <v/>
      </c>
      <c r="C119" s="50">
        <f>IF(D93="","-",+C118+1)</f>
        <v>2034</v>
      </c>
      <c r="D119" s="12">
        <f>IF(F118+SUM(E$99:E118)=D$92,F118,D$92-SUM(E$99:E118))</f>
        <v>1131727.6666666665</v>
      </c>
      <c r="E119" s="354">
        <f t="shared" si="62"/>
        <v>60720</v>
      </c>
      <c r="F119" s="55">
        <f t="shared" si="63"/>
        <v>1071007.6666666665</v>
      </c>
      <c r="G119" s="55">
        <f t="shared" si="64"/>
        <v>1101367.6666666665</v>
      </c>
      <c r="H119" s="355">
        <f t="shared" si="65"/>
        <v>192466.79710888924</v>
      </c>
      <c r="I119" s="381">
        <f t="shared" si="66"/>
        <v>192466.79710888924</v>
      </c>
      <c r="J119" s="54">
        <f t="shared" si="38"/>
        <v>0</v>
      </c>
      <c r="K119" s="54"/>
      <c r="L119" s="115"/>
      <c r="M119" s="54">
        <f t="shared" si="67"/>
        <v>0</v>
      </c>
      <c r="N119" s="115"/>
      <c r="O119" s="54">
        <f t="shared" si="39"/>
        <v>0</v>
      </c>
      <c r="P119" s="54">
        <f t="shared" si="40"/>
        <v>0</v>
      </c>
    </row>
    <row r="120" spans="2:16">
      <c r="B120" s="7" t="str">
        <f t="shared" si="37"/>
        <v/>
      </c>
      <c r="C120" s="50">
        <f>IF(D93="","-",+C119+1)</f>
        <v>2035</v>
      </c>
      <c r="D120" s="12">
        <f>IF(F119+SUM(E$99:E119)=D$92,F119,D$92-SUM(E$99:E119))</f>
        <v>1071007.6666666665</v>
      </c>
      <c r="E120" s="354">
        <f t="shared" si="62"/>
        <v>60720</v>
      </c>
      <c r="F120" s="55">
        <f t="shared" si="63"/>
        <v>1010287.6666666665</v>
      </c>
      <c r="G120" s="55">
        <f t="shared" si="64"/>
        <v>1040647.6666666665</v>
      </c>
      <c r="H120" s="355">
        <f t="shared" si="65"/>
        <v>185203.40472634084</v>
      </c>
      <c r="I120" s="381">
        <f t="shared" si="66"/>
        <v>185203.40472634084</v>
      </c>
      <c r="J120" s="54">
        <f t="shared" si="38"/>
        <v>0</v>
      </c>
      <c r="K120" s="54"/>
      <c r="L120" s="115"/>
      <c r="M120" s="54">
        <f t="shared" si="67"/>
        <v>0</v>
      </c>
      <c r="N120" s="115"/>
      <c r="O120" s="54">
        <f t="shared" si="39"/>
        <v>0</v>
      </c>
      <c r="P120" s="54">
        <f t="shared" si="40"/>
        <v>0</v>
      </c>
    </row>
    <row r="121" spans="2:16">
      <c r="B121" s="7" t="str">
        <f t="shared" si="37"/>
        <v/>
      </c>
      <c r="C121" s="50">
        <f>IF(D93="","-",+C120+1)</f>
        <v>2036</v>
      </c>
      <c r="D121" s="12">
        <f>IF(F120+SUM(E$99:E120)=D$92,F120,D$92-SUM(E$99:E120))</f>
        <v>1010287.6666666665</v>
      </c>
      <c r="E121" s="354">
        <f t="shared" si="62"/>
        <v>60720</v>
      </c>
      <c r="F121" s="55">
        <f t="shared" si="63"/>
        <v>949567.66666666651</v>
      </c>
      <c r="G121" s="55">
        <f t="shared" si="64"/>
        <v>979927.66666666651</v>
      </c>
      <c r="H121" s="355">
        <f t="shared" si="65"/>
        <v>177940.01234379248</v>
      </c>
      <c r="I121" s="381">
        <f t="shared" si="66"/>
        <v>177940.01234379248</v>
      </c>
      <c r="J121" s="54">
        <f t="shared" si="38"/>
        <v>0</v>
      </c>
      <c r="K121" s="54"/>
      <c r="L121" s="115"/>
      <c r="M121" s="54">
        <f t="shared" si="67"/>
        <v>0</v>
      </c>
      <c r="N121" s="115"/>
      <c r="O121" s="54">
        <f t="shared" si="39"/>
        <v>0</v>
      </c>
      <c r="P121" s="54">
        <f t="shared" si="40"/>
        <v>0</v>
      </c>
    </row>
    <row r="122" spans="2:16">
      <c r="B122" s="7" t="str">
        <f t="shared" si="37"/>
        <v/>
      </c>
      <c r="C122" s="50">
        <f>IF(D93="","-",+C121+1)</f>
        <v>2037</v>
      </c>
      <c r="D122" s="12">
        <f>IF(F121+SUM(E$99:E121)=D$92,F121,D$92-SUM(E$99:E121))</f>
        <v>949567.66666666651</v>
      </c>
      <c r="E122" s="354">
        <f t="shared" si="62"/>
        <v>60720</v>
      </c>
      <c r="F122" s="55">
        <f t="shared" si="63"/>
        <v>888847.66666666651</v>
      </c>
      <c r="G122" s="55">
        <f t="shared" si="64"/>
        <v>919207.66666666651</v>
      </c>
      <c r="H122" s="355">
        <f t="shared" si="65"/>
        <v>170676.61996124408</v>
      </c>
      <c r="I122" s="381">
        <f t="shared" si="66"/>
        <v>170676.61996124408</v>
      </c>
      <c r="J122" s="54">
        <f t="shared" si="38"/>
        <v>0</v>
      </c>
      <c r="K122" s="54"/>
      <c r="L122" s="115"/>
      <c r="M122" s="54">
        <f t="shared" si="67"/>
        <v>0</v>
      </c>
      <c r="N122" s="115"/>
      <c r="O122" s="54">
        <f t="shared" si="39"/>
        <v>0</v>
      </c>
      <c r="P122" s="54">
        <f t="shared" si="40"/>
        <v>0</v>
      </c>
    </row>
    <row r="123" spans="2:16">
      <c r="B123" s="7" t="str">
        <f t="shared" si="37"/>
        <v/>
      </c>
      <c r="C123" s="50">
        <f>IF(D93="","-",+C122+1)</f>
        <v>2038</v>
      </c>
      <c r="D123" s="12">
        <f>IF(F122+SUM(E$99:E122)=D$92,F122,D$92-SUM(E$99:E122))</f>
        <v>888847.66666666651</v>
      </c>
      <c r="E123" s="354">
        <f t="shared" si="62"/>
        <v>60720</v>
      </c>
      <c r="F123" s="55">
        <f t="shared" si="63"/>
        <v>828127.66666666651</v>
      </c>
      <c r="G123" s="55">
        <f t="shared" si="64"/>
        <v>858487.66666666651</v>
      </c>
      <c r="H123" s="355">
        <f t="shared" si="65"/>
        <v>163413.22757869569</v>
      </c>
      <c r="I123" s="381">
        <f t="shared" si="66"/>
        <v>163413.22757869569</v>
      </c>
      <c r="J123" s="54">
        <f t="shared" si="38"/>
        <v>0</v>
      </c>
      <c r="K123" s="54"/>
      <c r="L123" s="115"/>
      <c r="M123" s="54">
        <f t="shared" si="67"/>
        <v>0</v>
      </c>
      <c r="N123" s="115"/>
      <c r="O123" s="54">
        <f t="shared" si="39"/>
        <v>0</v>
      </c>
      <c r="P123" s="54">
        <f t="shared" si="40"/>
        <v>0</v>
      </c>
    </row>
    <row r="124" spans="2:16">
      <c r="B124" s="7" t="str">
        <f t="shared" si="37"/>
        <v/>
      </c>
      <c r="C124" s="50">
        <f>IF(D93="","-",+C123+1)</f>
        <v>2039</v>
      </c>
      <c r="D124" s="12">
        <f>IF(F123+SUM(E$99:E123)=D$92,F123,D$92-SUM(E$99:E123))</f>
        <v>828127.66666666651</v>
      </c>
      <c r="E124" s="354">
        <f t="shared" si="62"/>
        <v>60720</v>
      </c>
      <c r="F124" s="55">
        <f t="shared" si="63"/>
        <v>767407.66666666651</v>
      </c>
      <c r="G124" s="55">
        <f t="shared" si="64"/>
        <v>797767.66666666651</v>
      </c>
      <c r="H124" s="355">
        <f t="shared" si="65"/>
        <v>156149.83519614732</v>
      </c>
      <c r="I124" s="381">
        <f t="shared" si="66"/>
        <v>156149.83519614732</v>
      </c>
      <c r="J124" s="54">
        <f t="shared" si="38"/>
        <v>0</v>
      </c>
      <c r="K124" s="54"/>
      <c r="L124" s="115"/>
      <c r="M124" s="54">
        <f t="shared" si="67"/>
        <v>0</v>
      </c>
      <c r="N124" s="115"/>
      <c r="O124" s="54">
        <f t="shared" si="39"/>
        <v>0</v>
      </c>
      <c r="P124" s="54">
        <f t="shared" si="40"/>
        <v>0</v>
      </c>
    </row>
    <row r="125" spans="2:16">
      <c r="B125" s="7" t="str">
        <f t="shared" si="37"/>
        <v/>
      </c>
      <c r="C125" s="50">
        <f>IF(D93="","-",+C124+1)</f>
        <v>2040</v>
      </c>
      <c r="D125" s="12">
        <f>IF(F124+SUM(E$99:E124)=D$92,F124,D$92-SUM(E$99:E124))</f>
        <v>767407.66666666651</v>
      </c>
      <c r="E125" s="354">
        <f t="shared" si="62"/>
        <v>60720</v>
      </c>
      <c r="F125" s="55">
        <f t="shared" si="63"/>
        <v>706687.66666666651</v>
      </c>
      <c r="G125" s="55">
        <f t="shared" si="64"/>
        <v>737047.66666666651</v>
      </c>
      <c r="H125" s="355">
        <f t="shared" si="65"/>
        <v>148886.44281359893</v>
      </c>
      <c r="I125" s="381">
        <f t="shared" si="66"/>
        <v>148886.44281359893</v>
      </c>
      <c r="J125" s="54">
        <f t="shared" si="38"/>
        <v>0</v>
      </c>
      <c r="K125" s="54"/>
      <c r="L125" s="115"/>
      <c r="M125" s="54">
        <f t="shared" si="67"/>
        <v>0</v>
      </c>
      <c r="N125" s="115"/>
      <c r="O125" s="54">
        <f t="shared" si="39"/>
        <v>0</v>
      </c>
      <c r="P125" s="54">
        <f t="shared" si="40"/>
        <v>0</v>
      </c>
    </row>
    <row r="126" spans="2:16">
      <c r="B126" s="7" t="str">
        <f t="shared" si="37"/>
        <v/>
      </c>
      <c r="C126" s="50">
        <f>IF(D93="","-",+C125+1)</f>
        <v>2041</v>
      </c>
      <c r="D126" s="12">
        <f>IF(F125+SUM(E$99:E125)=D$92,F125,D$92-SUM(E$99:E125))</f>
        <v>706687.66666666651</v>
      </c>
      <c r="E126" s="354">
        <f t="shared" si="62"/>
        <v>60720</v>
      </c>
      <c r="F126" s="55">
        <f t="shared" si="63"/>
        <v>645967.66666666651</v>
      </c>
      <c r="G126" s="55">
        <f t="shared" si="64"/>
        <v>676327.66666666651</v>
      </c>
      <c r="H126" s="355">
        <f t="shared" si="65"/>
        <v>141623.05043105053</v>
      </c>
      <c r="I126" s="381">
        <f t="shared" si="66"/>
        <v>141623.05043105053</v>
      </c>
      <c r="J126" s="54">
        <f t="shared" si="38"/>
        <v>0</v>
      </c>
      <c r="K126" s="54"/>
      <c r="L126" s="115"/>
      <c r="M126" s="54">
        <f t="shared" si="67"/>
        <v>0</v>
      </c>
      <c r="N126" s="115"/>
      <c r="O126" s="54">
        <f t="shared" si="39"/>
        <v>0</v>
      </c>
      <c r="P126" s="54">
        <f t="shared" si="40"/>
        <v>0</v>
      </c>
    </row>
    <row r="127" spans="2:16">
      <c r="B127" s="7" t="str">
        <f t="shared" si="37"/>
        <v/>
      </c>
      <c r="C127" s="50">
        <f>IF(D93="","-",+C126+1)</f>
        <v>2042</v>
      </c>
      <c r="D127" s="12">
        <f>IF(F126+SUM(E$99:E126)=D$92,F126,D$92-SUM(E$99:E126))</f>
        <v>645967.66666666651</v>
      </c>
      <c r="E127" s="354">
        <f t="shared" si="62"/>
        <v>60720</v>
      </c>
      <c r="F127" s="55">
        <f t="shared" si="63"/>
        <v>585247.66666666651</v>
      </c>
      <c r="G127" s="55">
        <f t="shared" si="64"/>
        <v>615607.66666666651</v>
      </c>
      <c r="H127" s="355">
        <f t="shared" si="65"/>
        <v>134359.65804850217</v>
      </c>
      <c r="I127" s="381">
        <f t="shared" si="66"/>
        <v>134359.65804850217</v>
      </c>
      <c r="J127" s="54">
        <f t="shared" si="38"/>
        <v>0</v>
      </c>
      <c r="K127" s="54"/>
      <c r="L127" s="115"/>
      <c r="M127" s="54">
        <f t="shared" si="67"/>
        <v>0</v>
      </c>
      <c r="N127" s="115"/>
      <c r="O127" s="54">
        <f t="shared" si="39"/>
        <v>0</v>
      </c>
      <c r="P127" s="54">
        <f t="shared" si="40"/>
        <v>0</v>
      </c>
    </row>
    <row r="128" spans="2:16">
      <c r="B128" s="7" t="str">
        <f t="shared" si="37"/>
        <v/>
      </c>
      <c r="C128" s="50">
        <f>IF(D93="","-",+C127+1)</f>
        <v>2043</v>
      </c>
      <c r="D128" s="12">
        <f>IF(F127+SUM(E$99:E127)=D$92,F127,D$92-SUM(E$99:E127))</f>
        <v>585247.66666666651</v>
      </c>
      <c r="E128" s="354">
        <f t="shared" si="62"/>
        <v>60720</v>
      </c>
      <c r="F128" s="55">
        <f t="shared" si="63"/>
        <v>524527.66666666651</v>
      </c>
      <c r="G128" s="55">
        <f t="shared" si="64"/>
        <v>554887.66666666651</v>
      </c>
      <c r="H128" s="355">
        <f t="shared" si="65"/>
        <v>127096.26566595378</v>
      </c>
      <c r="I128" s="381">
        <f t="shared" si="66"/>
        <v>127096.26566595378</v>
      </c>
      <c r="J128" s="54">
        <f t="shared" si="38"/>
        <v>0</v>
      </c>
      <c r="K128" s="54"/>
      <c r="L128" s="115"/>
      <c r="M128" s="54">
        <f t="shared" si="67"/>
        <v>0</v>
      </c>
      <c r="N128" s="115"/>
      <c r="O128" s="54">
        <f t="shared" si="39"/>
        <v>0</v>
      </c>
      <c r="P128" s="54">
        <f t="shared" si="40"/>
        <v>0</v>
      </c>
    </row>
    <row r="129" spans="2:16">
      <c r="B129" s="7" t="str">
        <f t="shared" si="37"/>
        <v/>
      </c>
      <c r="C129" s="50">
        <f>IF(D93="","-",+C128+1)</f>
        <v>2044</v>
      </c>
      <c r="D129" s="12">
        <f>IF(F128+SUM(E$99:E128)=D$92,F128,D$92-SUM(E$99:E128))</f>
        <v>524527.66666666651</v>
      </c>
      <c r="E129" s="354">
        <f t="shared" si="62"/>
        <v>60720</v>
      </c>
      <c r="F129" s="55">
        <f t="shared" si="63"/>
        <v>463807.66666666651</v>
      </c>
      <c r="G129" s="55">
        <f t="shared" si="64"/>
        <v>494167.66666666651</v>
      </c>
      <c r="H129" s="355">
        <f t="shared" si="65"/>
        <v>119832.87328340538</v>
      </c>
      <c r="I129" s="381">
        <f t="shared" si="66"/>
        <v>119832.87328340538</v>
      </c>
      <c r="J129" s="54">
        <f t="shared" si="38"/>
        <v>0</v>
      </c>
      <c r="K129" s="54"/>
      <c r="L129" s="115"/>
      <c r="M129" s="54">
        <f t="shared" si="67"/>
        <v>0</v>
      </c>
      <c r="N129" s="115"/>
      <c r="O129" s="54">
        <f t="shared" si="39"/>
        <v>0</v>
      </c>
      <c r="P129" s="54">
        <f t="shared" si="40"/>
        <v>0</v>
      </c>
    </row>
    <row r="130" spans="2:16">
      <c r="B130" s="7" t="str">
        <f t="shared" si="37"/>
        <v/>
      </c>
      <c r="C130" s="50">
        <f>IF(D93="","-",+C129+1)</f>
        <v>2045</v>
      </c>
      <c r="D130" s="12">
        <f>IF(F129+SUM(E$99:E129)=D$92,F129,D$92-SUM(E$99:E129))</f>
        <v>463807.66666666651</v>
      </c>
      <c r="E130" s="354">
        <f t="shared" si="62"/>
        <v>60720</v>
      </c>
      <c r="F130" s="55">
        <f t="shared" si="63"/>
        <v>403087.66666666651</v>
      </c>
      <c r="G130" s="55">
        <f t="shared" si="64"/>
        <v>433447.66666666651</v>
      </c>
      <c r="H130" s="355">
        <f t="shared" si="65"/>
        <v>112569.48090085702</v>
      </c>
      <c r="I130" s="381">
        <f t="shared" si="66"/>
        <v>112569.48090085702</v>
      </c>
      <c r="J130" s="54">
        <f t="shared" si="38"/>
        <v>0</v>
      </c>
      <c r="K130" s="54"/>
      <c r="L130" s="115"/>
      <c r="M130" s="54">
        <f t="shared" si="67"/>
        <v>0</v>
      </c>
      <c r="N130" s="115"/>
      <c r="O130" s="54">
        <f t="shared" si="39"/>
        <v>0</v>
      </c>
      <c r="P130" s="54">
        <f t="shared" si="40"/>
        <v>0</v>
      </c>
    </row>
    <row r="131" spans="2:16">
      <c r="B131" s="7" t="str">
        <f t="shared" si="37"/>
        <v/>
      </c>
      <c r="C131" s="50">
        <f>IF(D93="","-",+C130+1)</f>
        <v>2046</v>
      </c>
      <c r="D131" s="12">
        <f>IF(F130+SUM(E$99:E130)=D$92,F130,D$92-SUM(E$99:E130))</f>
        <v>403087.66666666651</v>
      </c>
      <c r="E131" s="354">
        <f t="shared" si="62"/>
        <v>60720</v>
      </c>
      <c r="F131" s="55">
        <f t="shared" si="63"/>
        <v>342367.66666666651</v>
      </c>
      <c r="G131" s="55">
        <f t="shared" si="64"/>
        <v>372727.66666666651</v>
      </c>
      <c r="H131" s="355">
        <f t="shared" si="65"/>
        <v>105306.08851830862</v>
      </c>
      <c r="I131" s="381">
        <f t="shared" si="66"/>
        <v>105306.08851830862</v>
      </c>
      <c r="J131" s="54">
        <f t="shared" si="38"/>
        <v>0</v>
      </c>
      <c r="K131" s="54"/>
      <c r="L131" s="115"/>
      <c r="M131" s="54">
        <f t="shared" ref="M131:M154" si="68">IF(L541&lt;&gt;0,+H541-L541,0)</f>
        <v>0</v>
      </c>
      <c r="N131" s="115"/>
      <c r="O131" s="54">
        <f t="shared" ref="O131:O154" si="69">IF(N541&lt;&gt;0,+I541-N541,0)</f>
        <v>0</v>
      </c>
      <c r="P131" s="54">
        <f t="shared" ref="P131:P154" si="70">+O541-M541</f>
        <v>0</v>
      </c>
    </row>
    <row r="132" spans="2:16">
      <c r="B132" s="7" t="str">
        <f t="shared" si="37"/>
        <v/>
      </c>
      <c r="C132" s="50">
        <f>IF(D93="","-",+C131+1)</f>
        <v>2047</v>
      </c>
      <c r="D132" s="12">
        <f>IF(F131+SUM(E$99:E131)=D$92,F131,D$92-SUM(E$99:E131))</f>
        <v>342367.66666666651</v>
      </c>
      <c r="E132" s="354">
        <f t="shared" si="62"/>
        <v>60720</v>
      </c>
      <c r="F132" s="55">
        <f t="shared" si="63"/>
        <v>281647.66666666651</v>
      </c>
      <c r="G132" s="55">
        <f t="shared" si="64"/>
        <v>312007.66666666651</v>
      </c>
      <c r="H132" s="355">
        <f t="shared" si="65"/>
        <v>98042.696135760227</v>
      </c>
      <c r="I132" s="381">
        <f t="shared" si="66"/>
        <v>98042.696135760227</v>
      </c>
      <c r="J132" s="54">
        <f t="shared" si="38"/>
        <v>0</v>
      </c>
      <c r="K132" s="54"/>
      <c r="L132" s="115"/>
      <c r="M132" s="54">
        <f t="shared" si="68"/>
        <v>0</v>
      </c>
      <c r="N132" s="115"/>
      <c r="O132" s="54">
        <f t="shared" si="69"/>
        <v>0</v>
      </c>
      <c r="P132" s="54">
        <f t="shared" si="70"/>
        <v>0</v>
      </c>
    </row>
    <row r="133" spans="2:16">
      <c r="B133" s="7" t="str">
        <f t="shared" si="37"/>
        <v/>
      </c>
      <c r="C133" s="50">
        <f>IF(D93="","-",+C132+1)</f>
        <v>2048</v>
      </c>
      <c r="D133" s="12">
        <f>IF(F132+SUM(E$99:E132)=D$92,F132,D$92-SUM(E$99:E132))</f>
        <v>281647.66666666651</v>
      </c>
      <c r="E133" s="354">
        <f t="shared" si="62"/>
        <v>60720</v>
      </c>
      <c r="F133" s="55">
        <f t="shared" si="63"/>
        <v>220927.66666666651</v>
      </c>
      <c r="G133" s="55">
        <f t="shared" si="64"/>
        <v>251287.66666666651</v>
      </c>
      <c r="H133" s="355">
        <f t="shared" si="65"/>
        <v>90779.303753211847</v>
      </c>
      <c r="I133" s="381">
        <f t="shared" si="66"/>
        <v>90779.303753211847</v>
      </c>
      <c r="J133" s="54">
        <f t="shared" si="38"/>
        <v>0</v>
      </c>
      <c r="K133" s="54"/>
      <c r="L133" s="115"/>
      <c r="M133" s="54">
        <f t="shared" si="68"/>
        <v>0</v>
      </c>
      <c r="N133" s="115"/>
      <c r="O133" s="54">
        <f t="shared" si="69"/>
        <v>0</v>
      </c>
      <c r="P133" s="54">
        <f t="shared" si="70"/>
        <v>0</v>
      </c>
    </row>
    <row r="134" spans="2:16">
      <c r="B134" s="7" t="str">
        <f t="shared" si="37"/>
        <v/>
      </c>
      <c r="C134" s="50">
        <f>IF(D93="","-",+C133+1)</f>
        <v>2049</v>
      </c>
      <c r="D134" s="12">
        <f>IF(F133+SUM(E$99:E133)=D$92,F133,D$92-SUM(E$99:E133))</f>
        <v>220927.66666666651</v>
      </c>
      <c r="E134" s="354">
        <f t="shared" si="62"/>
        <v>60720</v>
      </c>
      <c r="F134" s="55">
        <f t="shared" si="63"/>
        <v>160207.66666666651</v>
      </c>
      <c r="G134" s="55">
        <f t="shared" si="64"/>
        <v>190567.66666666651</v>
      </c>
      <c r="H134" s="355">
        <f t="shared" si="65"/>
        <v>83515.911370663467</v>
      </c>
      <c r="I134" s="381">
        <f t="shared" si="66"/>
        <v>83515.911370663467</v>
      </c>
      <c r="J134" s="54">
        <f t="shared" si="38"/>
        <v>0</v>
      </c>
      <c r="K134" s="54"/>
      <c r="L134" s="115"/>
      <c r="M134" s="54">
        <f t="shared" si="68"/>
        <v>0</v>
      </c>
      <c r="N134" s="115"/>
      <c r="O134" s="54">
        <f t="shared" si="69"/>
        <v>0</v>
      </c>
      <c r="P134" s="54">
        <f t="shared" si="70"/>
        <v>0</v>
      </c>
    </row>
    <row r="135" spans="2:16">
      <c r="B135" s="7" t="str">
        <f t="shared" si="37"/>
        <v/>
      </c>
      <c r="C135" s="50">
        <f>IF(D93="","-",+C134+1)</f>
        <v>2050</v>
      </c>
      <c r="D135" s="12">
        <f>IF(F134+SUM(E$99:E134)=D$92,F134,D$92-SUM(E$99:E134))</f>
        <v>160207.66666666651</v>
      </c>
      <c r="E135" s="354">
        <f t="shared" si="62"/>
        <v>60720</v>
      </c>
      <c r="F135" s="55">
        <f t="shared" si="63"/>
        <v>99487.666666666511</v>
      </c>
      <c r="G135" s="55">
        <f t="shared" si="64"/>
        <v>129847.66666666651</v>
      </c>
      <c r="H135" s="355">
        <f t="shared" si="65"/>
        <v>76252.518988115073</v>
      </c>
      <c r="I135" s="381">
        <f t="shared" si="66"/>
        <v>76252.518988115073</v>
      </c>
      <c r="J135" s="54">
        <f t="shared" si="38"/>
        <v>0</v>
      </c>
      <c r="K135" s="54"/>
      <c r="L135" s="115"/>
      <c r="M135" s="54">
        <f t="shared" si="68"/>
        <v>0</v>
      </c>
      <c r="N135" s="115"/>
      <c r="O135" s="54">
        <f t="shared" si="69"/>
        <v>0</v>
      </c>
      <c r="P135" s="54">
        <f t="shared" si="70"/>
        <v>0</v>
      </c>
    </row>
    <row r="136" spans="2:16">
      <c r="B136" s="7" t="str">
        <f t="shared" si="37"/>
        <v/>
      </c>
      <c r="C136" s="50">
        <f>IF(D93="","-",+C135+1)</f>
        <v>2051</v>
      </c>
      <c r="D136" s="12">
        <f>IF(F135+SUM(E$99:E135)=D$92,F135,D$92-SUM(E$99:E135))</f>
        <v>99487.666666666511</v>
      </c>
      <c r="E136" s="354">
        <f t="shared" si="62"/>
        <v>60720</v>
      </c>
      <c r="F136" s="55">
        <f t="shared" si="63"/>
        <v>38767.666666666511</v>
      </c>
      <c r="G136" s="55">
        <f t="shared" si="64"/>
        <v>69127.666666666511</v>
      </c>
      <c r="H136" s="355">
        <f t="shared" si="65"/>
        <v>68989.126605566693</v>
      </c>
      <c r="I136" s="381">
        <f t="shared" si="66"/>
        <v>68989.126605566693</v>
      </c>
      <c r="J136" s="54">
        <f t="shared" si="38"/>
        <v>0</v>
      </c>
      <c r="K136" s="54"/>
      <c r="L136" s="115"/>
      <c r="M136" s="54">
        <f t="shared" si="68"/>
        <v>0</v>
      </c>
      <c r="N136" s="115"/>
      <c r="O136" s="54">
        <f t="shared" si="69"/>
        <v>0</v>
      </c>
      <c r="P136" s="54">
        <f t="shared" si="70"/>
        <v>0</v>
      </c>
    </row>
    <row r="137" spans="2:16">
      <c r="B137" s="7" t="str">
        <f t="shared" si="37"/>
        <v/>
      </c>
      <c r="C137" s="50">
        <f>IF(D93="","-",+C136+1)</f>
        <v>2052</v>
      </c>
      <c r="D137" s="12">
        <f>IF(F136+SUM(E$99:E136)=D$92,F136,D$92-SUM(E$99:E136))</f>
        <v>38767.666666666511</v>
      </c>
      <c r="E137" s="354">
        <f t="shared" si="62"/>
        <v>38767.666666666511</v>
      </c>
      <c r="F137" s="55">
        <f t="shared" si="63"/>
        <v>0</v>
      </c>
      <c r="G137" s="55">
        <f t="shared" si="64"/>
        <v>19383.833333333256</v>
      </c>
      <c r="H137" s="355">
        <f t="shared" si="65"/>
        <v>41086.381873812759</v>
      </c>
      <c r="I137" s="381">
        <f t="shared" si="66"/>
        <v>41086.381873812759</v>
      </c>
      <c r="J137" s="54">
        <f t="shared" si="38"/>
        <v>0</v>
      </c>
      <c r="K137" s="54"/>
      <c r="L137" s="115"/>
      <c r="M137" s="54">
        <f t="shared" si="68"/>
        <v>0</v>
      </c>
      <c r="N137" s="115"/>
      <c r="O137" s="54">
        <f t="shared" si="69"/>
        <v>0</v>
      </c>
      <c r="P137" s="54">
        <f t="shared" si="70"/>
        <v>0</v>
      </c>
    </row>
    <row r="138" spans="2:16">
      <c r="B138" s="7" t="str">
        <f t="shared" si="37"/>
        <v/>
      </c>
      <c r="C138" s="50">
        <f>IF(D93="","-",+C137+1)</f>
        <v>2053</v>
      </c>
      <c r="D138" s="12">
        <f>IF(F137+SUM(E$99:E137)=D$92,F137,D$92-SUM(E$99:E137))</f>
        <v>0</v>
      </c>
      <c r="E138" s="354">
        <f t="shared" si="62"/>
        <v>0</v>
      </c>
      <c r="F138" s="55">
        <f t="shared" si="63"/>
        <v>0</v>
      </c>
      <c r="G138" s="55">
        <f t="shared" si="64"/>
        <v>0</v>
      </c>
      <c r="H138" s="355">
        <f t="shared" si="65"/>
        <v>0</v>
      </c>
      <c r="I138" s="381">
        <f t="shared" si="66"/>
        <v>0</v>
      </c>
      <c r="J138" s="54">
        <f t="shared" si="38"/>
        <v>0</v>
      </c>
      <c r="K138" s="54"/>
      <c r="L138" s="115"/>
      <c r="M138" s="54">
        <f t="shared" si="68"/>
        <v>0</v>
      </c>
      <c r="N138" s="115"/>
      <c r="O138" s="54">
        <f t="shared" si="69"/>
        <v>0</v>
      </c>
      <c r="P138" s="54">
        <f t="shared" si="70"/>
        <v>0</v>
      </c>
    </row>
    <row r="139" spans="2:16">
      <c r="B139" s="7" t="str">
        <f t="shared" si="37"/>
        <v/>
      </c>
      <c r="C139" s="50">
        <f>IF(D93="","-",+C138+1)</f>
        <v>2054</v>
      </c>
      <c r="D139" s="12">
        <f>IF(F138+SUM(E$99:E138)=D$92,F138,D$92-SUM(E$99:E138))</f>
        <v>0</v>
      </c>
      <c r="E139" s="354">
        <f t="shared" si="62"/>
        <v>0</v>
      </c>
      <c r="F139" s="55">
        <f t="shared" si="63"/>
        <v>0</v>
      </c>
      <c r="G139" s="55">
        <f t="shared" si="64"/>
        <v>0</v>
      </c>
      <c r="H139" s="355">
        <f t="shared" si="65"/>
        <v>0</v>
      </c>
      <c r="I139" s="381">
        <f t="shared" si="66"/>
        <v>0</v>
      </c>
      <c r="J139" s="54">
        <f t="shared" si="38"/>
        <v>0</v>
      </c>
      <c r="K139" s="54"/>
      <c r="L139" s="115"/>
      <c r="M139" s="54">
        <f t="shared" si="68"/>
        <v>0</v>
      </c>
      <c r="N139" s="115"/>
      <c r="O139" s="54">
        <f t="shared" si="69"/>
        <v>0</v>
      </c>
      <c r="P139" s="54">
        <f t="shared" si="70"/>
        <v>0</v>
      </c>
    </row>
    <row r="140" spans="2:16">
      <c r="B140" s="7" t="str">
        <f t="shared" si="37"/>
        <v/>
      </c>
      <c r="C140" s="50">
        <f>IF(D93="","-",+C139+1)</f>
        <v>2055</v>
      </c>
      <c r="D140" s="12">
        <f>IF(F139+SUM(E$99:E139)=D$92,F139,D$92-SUM(E$99:E139))</f>
        <v>0</v>
      </c>
      <c r="E140" s="354">
        <f t="shared" si="62"/>
        <v>0</v>
      </c>
      <c r="F140" s="55">
        <f t="shared" si="63"/>
        <v>0</v>
      </c>
      <c r="G140" s="55">
        <f t="shared" si="64"/>
        <v>0</v>
      </c>
      <c r="H140" s="355">
        <f t="shared" si="65"/>
        <v>0</v>
      </c>
      <c r="I140" s="381">
        <f t="shared" si="66"/>
        <v>0</v>
      </c>
      <c r="J140" s="54">
        <f t="shared" si="38"/>
        <v>0</v>
      </c>
      <c r="K140" s="54"/>
      <c r="L140" s="115"/>
      <c r="M140" s="54">
        <f t="shared" si="68"/>
        <v>0</v>
      </c>
      <c r="N140" s="115"/>
      <c r="O140" s="54">
        <f t="shared" si="69"/>
        <v>0</v>
      </c>
      <c r="P140" s="54">
        <f t="shared" si="70"/>
        <v>0</v>
      </c>
    </row>
    <row r="141" spans="2:16">
      <c r="B141" s="7" t="str">
        <f t="shared" si="37"/>
        <v/>
      </c>
      <c r="C141" s="50">
        <f>IF(D93="","-",+C140+1)</f>
        <v>2056</v>
      </c>
      <c r="D141" s="12">
        <f>IF(F140+SUM(E$99:E140)=D$92,F140,D$92-SUM(E$99:E140))</f>
        <v>0</v>
      </c>
      <c r="E141" s="354">
        <f t="shared" si="62"/>
        <v>0</v>
      </c>
      <c r="F141" s="55">
        <f t="shared" si="63"/>
        <v>0</v>
      </c>
      <c r="G141" s="55">
        <f t="shared" si="64"/>
        <v>0</v>
      </c>
      <c r="H141" s="355">
        <f t="shared" si="65"/>
        <v>0</v>
      </c>
      <c r="I141" s="381">
        <f t="shared" si="66"/>
        <v>0</v>
      </c>
      <c r="J141" s="54">
        <f t="shared" si="38"/>
        <v>0</v>
      </c>
      <c r="K141" s="54"/>
      <c r="L141" s="115"/>
      <c r="M141" s="54">
        <f t="shared" si="68"/>
        <v>0</v>
      </c>
      <c r="N141" s="115"/>
      <c r="O141" s="54">
        <f t="shared" si="69"/>
        <v>0</v>
      </c>
      <c r="P141" s="54">
        <f t="shared" si="70"/>
        <v>0</v>
      </c>
    </row>
    <row r="142" spans="2:16">
      <c r="B142" s="7" t="str">
        <f t="shared" si="37"/>
        <v/>
      </c>
      <c r="C142" s="50">
        <f>IF(D93="","-",+C141+1)</f>
        <v>2057</v>
      </c>
      <c r="D142" s="12">
        <f>IF(F141+SUM(E$99:E141)=D$92,F141,D$92-SUM(E$99:E141))</f>
        <v>0</v>
      </c>
      <c r="E142" s="354">
        <f t="shared" si="62"/>
        <v>0</v>
      </c>
      <c r="F142" s="55">
        <f t="shared" si="63"/>
        <v>0</v>
      </c>
      <c r="G142" s="55">
        <f t="shared" si="64"/>
        <v>0</v>
      </c>
      <c r="H142" s="355">
        <f t="shared" si="65"/>
        <v>0</v>
      </c>
      <c r="I142" s="381">
        <f t="shared" si="66"/>
        <v>0</v>
      </c>
      <c r="J142" s="54">
        <f t="shared" si="38"/>
        <v>0</v>
      </c>
      <c r="K142" s="54"/>
      <c r="L142" s="115"/>
      <c r="M142" s="54">
        <f t="shared" si="68"/>
        <v>0</v>
      </c>
      <c r="N142" s="115"/>
      <c r="O142" s="54">
        <f t="shared" si="69"/>
        <v>0</v>
      </c>
      <c r="P142" s="54">
        <f t="shared" si="70"/>
        <v>0</v>
      </c>
    </row>
    <row r="143" spans="2:16">
      <c r="B143" s="7" t="str">
        <f t="shared" si="37"/>
        <v/>
      </c>
      <c r="C143" s="50">
        <f>IF(D93="","-",+C142+1)</f>
        <v>2058</v>
      </c>
      <c r="D143" s="12">
        <f>IF(F142+SUM(E$99:E142)=D$92,F142,D$92-SUM(E$99:E142))</f>
        <v>0</v>
      </c>
      <c r="E143" s="354">
        <f t="shared" si="62"/>
        <v>0</v>
      </c>
      <c r="F143" s="55">
        <f t="shared" si="63"/>
        <v>0</v>
      </c>
      <c r="G143" s="55">
        <f t="shared" si="64"/>
        <v>0</v>
      </c>
      <c r="H143" s="355">
        <f t="shared" si="65"/>
        <v>0</v>
      </c>
      <c r="I143" s="381">
        <f t="shared" si="66"/>
        <v>0</v>
      </c>
      <c r="J143" s="54">
        <f t="shared" si="38"/>
        <v>0</v>
      </c>
      <c r="K143" s="54"/>
      <c r="L143" s="115"/>
      <c r="M143" s="54">
        <f t="shared" si="68"/>
        <v>0</v>
      </c>
      <c r="N143" s="115"/>
      <c r="O143" s="54">
        <f t="shared" si="69"/>
        <v>0</v>
      </c>
      <c r="P143" s="54">
        <f t="shared" si="70"/>
        <v>0</v>
      </c>
    </row>
    <row r="144" spans="2:16">
      <c r="B144" s="7" t="str">
        <f t="shared" si="37"/>
        <v/>
      </c>
      <c r="C144" s="50">
        <f>IF(D93="","-",+C143+1)</f>
        <v>2059</v>
      </c>
      <c r="D144" s="12">
        <f>IF(F143+SUM(E$99:E143)=D$92,F143,D$92-SUM(E$99:E143))</f>
        <v>0</v>
      </c>
      <c r="E144" s="354">
        <f t="shared" si="62"/>
        <v>0</v>
      </c>
      <c r="F144" s="55">
        <f t="shared" si="63"/>
        <v>0</v>
      </c>
      <c r="G144" s="55">
        <f t="shared" si="64"/>
        <v>0</v>
      </c>
      <c r="H144" s="355">
        <f t="shared" si="65"/>
        <v>0</v>
      </c>
      <c r="I144" s="381">
        <f t="shared" si="66"/>
        <v>0</v>
      </c>
      <c r="J144" s="54">
        <f t="shared" si="38"/>
        <v>0</v>
      </c>
      <c r="K144" s="54"/>
      <c r="L144" s="115"/>
      <c r="M144" s="54">
        <f t="shared" si="68"/>
        <v>0</v>
      </c>
      <c r="N144" s="115"/>
      <c r="O144" s="54">
        <f t="shared" si="69"/>
        <v>0</v>
      </c>
      <c r="P144" s="54">
        <f t="shared" si="70"/>
        <v>0</v>
      </c>
    </row>
    <row r="145" spans="2:16">
      <c r="B145" s="7" t="str">
        <f t="shared" si="37"/>
        <v/>
      </c>
      <c r="C145" s="50">
        <f>IF(D93="","-",+C144+1)</f>
        <v>2060</v>
      </c>
      <c r="D145" s="12">
        <f>IF(F144+SUM(E$99:E144)=D$92,F144,D$92-SUM(E$99:E144))</f>
        <v>0</v>
      </c>
      <c r="E145" s="354">
        <f t="shared" si="62"/>
        <v>0</v>
      </c>
      <c r="F145" s="55">
        <f t="shared" si="63"/>
        <v>0</v>
      </c>
      <c r="G145" s="55">
        <f t="shared" si="64"/>
        <v>0</v>
      </c>
      <c r="H145" s="355">
        <f t="shared" si="65"/>
        <v>0</v>
      </c>
      <c r="I145" s="381">
        <f t="shared" si="66"/>
        <v>0</v>
      </c>
      <c r="J145" s="54">
        <f t="shared" si="38"/>
        <v>0</v>
      </c>
      <c r="K145" s="54"/>
      <c r="L145" s="115"/>
      <c r="M145" s="54">
        <f t="shared" si="68"/>
        <v>0</v>
      </c>
      <c r="N145" s="115"/>
      <c r="O145" s="54">
        <f t="shared" si="69"/>
        <v>0</v>
      </c>
      <c r="P145" s="54">
        <f t="shared" si="70"/>
        <v>0</v>
      </c>
    </row>
    <row r="146" spans="2:16">
      <c r="B146" s="7" t="str">
        <f t="shared" si="37"/>
        <v/>
      </c>
      <c r="C146" s="50">
        <f>IF(D93="","-",+C145+1)</f>
        <v>2061</v>
      </c>
      <c r="D146" s="12">
        <f>IF(F145+SUM(E$99:E145)=D$92,F145,D$92-SUM(E$99:E145))</f>
        <v>0</v>
      </c>
      <c r="E146" s="354">
        <f t="shared" si="62"/>
        <v>0</v>
      </c>
      <c r="F146" s="55">
        <f t="shared" si="63"/>
        <v>0</v>
      </c>
      <c r="G146" s="55">
        <f t="shared" si="64"/>
        <v>0</v>
      </c>
      <c r="H146" s="355">
        <f t="shared" si="65"/>
        <v>0</v>
      </c>
      <c r="I146" s="381">
        <f t="shared" si="66"/>
        <v>0</v>
      </c>
      <c r="J146" s="54">
        <f t="shared" si="38"/>
        <v>0</v>
      </c>
      <c r="K146" s="54"/>
      <c r="L146" s="115"/>
      <c r="M146" s="54">
        <f t="shared" si="68"/>
        <v>0</v>
      </c>
      <c r="N146" s="115"/>
      <c r="O146" s="54">
        <f t="shared" si="69"/>
        <v>0</v>
      </c>
      <c r="P146" s="54">
        <f t="shared" si="70"/>
        <v>0</v>
      </c>
    </row>
    <row r="147" spans="2:16">
      <c r="B147" s="7" t="str">
        <f t="shared" si="37"/>
        <v/>
      </c>
      <c r="C147" s="50">
        <f>IF(D93="","-",+C146+1)</f>
        <v>2062</v>
      </c>
      <c r="D147" s="12">
        <f>IF(F146+SUM(E$99:E146)=D$92,F146,D$92-SUM(E$99:E146))</f>
        <v>0</v>
      </c>
      <c r="E147" s="354">
        <f t="shared" si="62"/>
        <v>0</v>
      </c>
      <c r="F147" s="55">
        <f t="shared" si="63"/>
        <v>0</v>
      </c>
      <c r="G147" s="55">
        <f t="shared" si="64"/>
        <v>0</v>
      </c>
      <c r="H147" s="355">
        <f t="shared" si="65"/>
        <v>0</v>
      </c>
      <c r="I147" s="381">
        <f t="shared" si="66"/>
        <v>0</v>
      </c>
      <c r="J147" s="54">
        <f t="shared" si="38"/>
        <v>0</v>
      </c>
      <c r="K147" s="54"/>
      <c r="L147" s="115"/>
      <c r="M147" s="54">
        <f t="shared" si="68"/>
        <v>0</v>
      </c>
      <c r="N147" s="115"/>
      <c r="O147" s="54">
        <f t="shared" si="69"/>
        <v>0</v>
      </c>
      <c r="P147" s="54">
        <f t="shared" si="70"/>
        <v>0</v>
      </c>
    </row>
    <row r="148" spans="2:16">
      <c r="B148" s="7" t="str">
        <f t="shared" si="37"/>
        <v/>
      </c>
      <c r="C148" s="50">
        <f>IF(D93="","-",+C147+1)</f>
        <v>2063</v>
      </c>
      <c r="D148" s="12">
        <f>IF(F147+SUM(E$99:E147)=D$92,F147,D$92-SUM(E$99:E147))</f>
        <v>0</v>
      </c>
      <c r="E148" s="354">
        <f t="shared" si="62"/>
        <v>0</v>
      </c>
      <c r="F148" s="55">
        <f t="shared" si="63"/>
        <v>0</v>
      </c>
      <c r="G148" s="55">
        <f t="shared" si="64"/>
        <v>0</v>
      </c>
      <c r="H148" s="355">
        <f t="shared" si="65"/>
        <v>0</v>
      </c>
      <c r="I148" s="381">
        <f t="shared" si="66"/>
        <v>0</v>
      </c>
      <c r="J148" s="54">
        <f t="shared" si="38"/>
        <v>0</v>
      </c>
      <c r="K148" s="54"/>
      <c r="L148" s="115"/>
      <c r="M148" s="54">
        <f t="shared" si="68"/>
        <v>0</v>
      </c>
      <c r="N148" s="115"/>
      <c r="O148" s="54">
        <f t="shared" si="69"/>
        <v>0</v>
      </c>
      <c r="P148" s="54">
        <f t="shared" si="70"/>
        <v>0</v>
      </c>
    </row>
    <row r="149" spans="2:16">
      <c r="B149" s="7" t="str">
        <f t="shared" si="37"/>
        <v/>
      </c>
      <c r="C149" s="50">
        <f>IF(D93="","-",+C148+1)</f>
        <v>2064</v>
      </c>
      <c r="D149" s="12">
        <f>IF(F148+SUM(E$99:E148)=D$92,F148,D$92-SUM(E$99:E148))</f>
        <v>0</v>
      </c>
      <c r="E149" s="354">
        <f t="shared" si="62"/>
        <v>0</v>
      </c>
      <c r="F149" s="55">
        <f t="shared" si="63"/>
        <v>0</v>
      </c>
      <c r="G149" s="55">
        <f t="shared" si="64"/>
        <v>0</v>
      </c>
      <c r="H149" s="355">
        <f t="shared" si="65"/>
        <v>0</v>
      </c>
      <c r="I149" s="381">
        <f t="shared" si="66"/>
        <v>0</v>
      </c>
      <c r="J149" s="54">
        <f t="shared" si="38"/>
        <v>0</v>
      </c>
      <c r="K149" s="54"/>
      <c r="L149" s="115"/>
      <c r="M149" s="54">
        <f t="shared" si="68"/>
        <v>0</v>
      </c>
      <c r="N149" s="115"/>
      <c r="O149" s="54">
        <f t="shared" si="69"/>
        <v>0</v>
      </c>
      <c r="P149" s="54">
        <f t="shared" si="70"/>
        <v>0</v>
      </c>
    </row>
    <row r="150" spans="2:16">
      <c r="B150" s="7" t="str">
        <f t="shared" si="37"/>
        <v/>
      </c>
      <c r="C150" s="50">
        <f>IF(D93="","-",+C149+1)</f>
        <v>2065</v>
      </c>
      <c r="D150" s="12">
        <f>IF(F149+SUM(E$99:E149)=D$92,F149,D$92-SUM(E$99:E149))</f>
        <v>0</v>
      </c>
      <c r="E150" s="354">
        <f t="shared" si="62"/>
        <v>0</v>
      </c>
      <c r="F150" s="55">
        <f t="shared" si="63"/>
        <v>0</v>
      </c>
      <c r="G150" s="55">
        <f t="shared" si="64"/>
        <v>0</v>
      </c>
      <c r="H150" s="355">
        <f t="shared" si="65"/>
        <v>0</v>
      </c>
      <c r="I150" s="381">
        <f t="shared" si="66"/>
        <v>0</v>
      </c>
      <c r="J150" s="54">
        <f t="shared" si="38"/>
        <v>0</v>
      </c>
      <c r="K150" s="54"/>
      <c r="L150" s="115"/>
      <c r="M150" s="54">
        <f t="shared" si="68"/>
        <v>0</v>
      </c>
      <c r="N150" s="115"/>
      <c r="O150" s="54">
        <f t="shared" si="69"/>
        <v>0</v>
      </c>
      <c r="P150" s="54">
        <f t="shared" si="70"/>
        <v>0</v>
      </c>
    </row>
    <row r="151" spans="2:16">
      <c r="B151" s="7" t="str">
        <f t="shared" si="37"/>
        <v/>
      </c>
      <c r="C151" s="50">
        <f>IF(D93="","-",+C150+1)</f>
        <v>2066</v>
      </c>
      <c r="D151" s="12">
        <f>IF(F150+SUM(E$99:E150)=D$92,F150,D$92-SUM(E$99:E150))</f>
        <v>0</v>
      </c>
      <c r="E151" s="354">
        <f t="shared" si="62"/>
        <v>0</v>
      </c>
      <c r="F151" s="55">
        <f t="shared" si="63"/>
        <v>0</v>
      </c>
      <c r="G151" s="55">
        <f t="shared" si="64"/>
        <v>0</v>
      </c>
      <c r="H151" s="355">
        <f t="shared" si="65"/>
        <v>0</v>
      </c>
      <c r="I151" s="381">
        <f t="shared" si="66"/>
        <v>0</v>
      </c>
      <c r="J151" s="54">
        <f t="shared" si="38"/>
        <v>0</v>
      </c>
      <c r="K151" s="54"/>
      <c r="L151" s="115"/>
      <c r="M151" s="54">
        <f t="shared" si="68"/>
        <v>0</v>
      </c>
      <c r="N151" s="115"/>
      <c r="O151" s="54">
        <f t="shared" si="69"/>
        <v>0</v>
      </c>
      <c r="P151" s="54">
        <f t="shared" si="70"/>
        <v>0</v>
      </c>
    </row>
    <row r="152" spans="2:16">
      <c r="B152" s="7" t="str">
        <f t="shared" si="37"/>
        <v/>
      </c>
      <c r="C152" s="50">
        <f>IF(D93="","-",+C151+1)</f>
        <v>2067</v>
      </c>
      <c r="D152" s="12">
        <f>IF(F151+SUM(E$99:E151)=D$92,F151,D$92-SUM(E$99:E151))</f>
        <v>0</v>
      </c>
      <c r="E152" s="354">
        <f t="shared" si="62"/>
        <v>0</v>
      </c>
      <c r="F152" s="55">
        <f t="shared" si="63"/>
        <v>0</v>
      </c>
      <c r="G152" s="55">
        <f t="shared" si="64"/>
        <v>0</v>
      </c>
      <c r="H152" s="355">
        <f t="shared" si="65"/>
        <v>0</v>
      </c>
      <c r="I152" s="381">
        <f t="shared" si="66"/>
        <v>0</v>
      </c>
      <c r="J152" s="54">
        <f t="shared" si="38"/>
        <v>0</v>
      </c>
      <c r="K152" s="54"/>
      <c r="L152" s="115"/>
      <c r="M152" s="54">
        <f t="shared" si="68"/>
        <v>0</v>
      </c>
      <c r="N152" s="115"/>
      <c r="O152" s="54">
        <f t="shared" si="69"/>
        <v>0</v>
      </c>
      <c r="P152" s="54">
        <f t="shared" si="70"/>
        <v>0</v>
      </c>
    </row>
    <row r="153" spans="2:16">
      <c r="B153" s="7" t="str">
        <f t="shared" si="37"/>
        <v/>
      </c>
      <c r="C153" s="50">
        <f>IF(D93="","-",+C152+1)</f>
        <v>2068</v>
      </c>
      <c r="D153" s="12">
        <f>IF(F152+SUM(E$99:E152)=D$92,F152,D$92-SUM(E$99:E152))</f>
        <v>0</v>
      </c>
      <c r="E153" s="354">
        <f t="shared" si="62"/>
        <v>0</v>
      </c>
      <c r="F153" s="55">
        <f t="shared" si="63"/>
        <v>0</v>
      </c>
      <c r="G153" s="55">
        <f t="shared" si="64"/>
        <v>0</v>
      </c>
      <c r="H153" s="355">
        <f t="shared" si="65"/>
        <v>0</v>
      </c>
      <c r="I153" s="381">
        <f t="shared" si="66"/>
        <v>0</v>
      </c>
      <c r="J153" s="54">
        <f t="shared" si="38"/>
        <v>0</v>
      </c>
      <c r="K153" s="54"/>
      <c r="L153" s="115"/>
      <c r="M153" s="54">
        <f t="shared" si="68"/>
        <v>0</v>
      </c>
      <c r="N153" s="115"/>
      <c r="O153" s="54">
        <f t="shared" si="69"/>
        <v>0</v>
      </c>
      <c r="P153" s="54">
        <f t="shared" si="70"/>
        <v>0</v>
      </c>
    </row>
    <row r="154" spans="2:16" ht="13.5" thickBot="1">
      <c r="B154" s="7" t="str">
        <f t="shared" si="37"/>
        <v/>
      </c>
      <c r="C154" s="58">
        <f>IF(D93="","-",+C153+1)</f>
        <v>2069</v>
      </c>
      <c r="D154" s="403">
        <f>IF(F153+SUM(E$99:E153)=D$92,F153,D$92-SUM(E$99:E153))</f>
        <v>0</v>
      </c>
      <c r="E154" s="357">
        <f t="shared" si="62"/>
        <v>0</v>
      </c>
      <c r="F154" s="59">
        <f t="shared" si="63"/>
        <v>0</v>
      </c>
      <c r="G154" s="59">
        <f t="shared" si="64"/>
        <v>0</v>
      </c>
      <c r="H154" s="358">
        <f t="shared" ref="H154" si="71">+J$94*G154+E154</f>
        <v>0</v>
      </c>
      <c r="I154" s="383">
        <f t="shared" ref="I154" si="72">+J$95*G154+E154</f>
        <v>0</v>
      </c>
      <c r="J154" s="62">
        <f t="shared" si="38"/>
        <v>0</v>
      </c>
      <c r="K154" s="62"/>
      <c r="L154" s="116"/>
      <c r="M154" s="62">
        <f t="shared" si="68"/>
        <v>0</v>
      </c>
      <c r="N154" s="116"/>
      <c r="O154" s="62">
        <f t="shared" si="69"/>
        <v>0</v>
      </c>
      <c r="P154" s="62">
        <f t="shared" si="70"/>
        <v>0</v>
      </c>
    </row>
    <row r="155" spans="2:16">
      <c r="C155" s="12" t="s">
        <v>77</v>
      </c>
      <c r="D155" s="266"/>
      <c r="E155" s="266">
        <f>SUM(E99:E154)</f>
        <v>2246629</v>
      </c>
      <c r="F155" s="266"/>
      <c r="G155" s="266"/>
      <c r="H155" s="266">
        <f>SUM(H99:H154)</f>
        <v>7503166.1294321325</v>
      </c>
      <c r="I155" s="266">
        <f>SUM(I99:I154)</f>
        <v>7503166.1294321325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P162"/>
  <sheetViews>
    <sheetView topLeftCell="A87" zoomScaleNormal="100" zoomScaleSheetLayoutView="80" workbookViewId="0">
      <selection activeCell="F102" sqref="F102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16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559884.89578947367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559884.89578947367</v>
      </c>
      <c r="O6" s="1"/>
      <c r="P6" s="1"/>
    </row>
    <row r="7" spans="1:16" ht="13.5" thickBot="1">
      <c r="C7" s="26" t="s">
        <v>46</v>
      </c>
      <c r="D7" s="88" t="s">
        <v>252</v>
      </c>
      <c r="E7" s="426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251</v>
      </c>
      <c r="E9" s="404" t="s">
        <v>259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5059278.0399999991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133138.89578947367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2014</v>
      </c>
      <c r="D17" s="411">
        <v>5300000</v>
      </c>
      <c r="E17" s="432">
        <v>0</v>
      </c>
      <c r="F17" s="411">
        <v>5300000</v>
      </c>
      <c r="G17" s="432">
        <v>729591.46876123699</v>
      </c>
      <c r="H17" s="414">
        <v>729591.46876123699</v>
      </c>
      <c r="I17" s="52">
        <v>0</v>
      </c>
      <c r="J17" s="52"/>
      <c r="K17" s="350">
        <f t="shared" ref="K17:K22" si="0">G17</f>
        <v>729591.46876123699</v>
      </c>
      <c r="L17" s="63">
        <f t="shared" ref="L17:L22" si="1">IF(K17&lt;&gt;0,+G17-K17,0)</f>
        <v>0</v>
      </c>
      <c r="M17" s="350">
        <f t="shared" ref="M17:M22" si="2">H17</f>
        <v>729591.46876123699</v>
      </c>
      <c r="N17" s="54">
        <f>IF(M17&lt;&gt;0,+H17-M17,0)</f>
        <v>0</v>
      </c>
      <c r="O17" s="52">
        <f>+N17-L17</f>
        <v>0</v>
      </c>
      <c r="P17" s="1"/>
    </row>
    <row r="18" spans="2:16">
      <c r="B18" s="7" t="str">
        <f>IF(D18=F17,"","IU")</f>
        <v/>
      </c>
      <c r="C18" s="50">
        <f>IF(D11="","-",+C17+1)</f>
        <v>2015</v>
      </c>
      <c r="D18" s="411">
        <v>5300000</v>
      </c>
      <c r="E18" s="412">
        <v>101923.07692307692</v>
      </c>
      <c r="F18" s="411">
        <v>5198076.923076923</v>
      </c>
      <c r="G18" s="412">
        <v>818590.55430690572</v>
      </c>
      <c r="H18" s="414">
        <v>818590.55430690572</v>
      </c>
      <c r="I18" s="52">
        <v>0</v>
      </c>
      <c r="J18" s="52"/>
      <c r="K18" s="350">
        <f t="shared" si="0"/>
        <v>818590.55430690572</v>
      </c>
      <c r="L18" s="63">
        <f t="shared" si="1"/>
        <v>0</v>
      </c>
      <c r="M18" s="350">
        <f t="shared" si="2"/>
        <v>818590.55430690572</v>
      </c>
      <c r="N18" s="54">
        <f>IF(M18&lt;&gt;0,+H18-M18,0)</f>
        <v>0</v>
      </c>
      <c r="O18" s="52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2016</v>
      </c>
      <c r="D19" s="411">
        <v>4969414.923076923</v>
      </c>
      <c r="E19" s="412">
        <v>97525.730769230766</v>
      </c>
      <c r="F19" s="411">
        <v>4871889.192307692</v>
      </c>
      <c r="G19" s="412">
        <v>736520.73076923075</v>
      </c>
      <c r="H19" s="414">
        <v>736520.73076923075</v>
      </c>
      <c r="I19" s="52">
        <f>H19-G19</f>
        <v>0</v>
      </c>
      <c r="J19" s="52"/>
      <c r="K19" s="350">
        <f t="shared" si="0"/>
        <v>736520.73076923075</v>
      </c>
      <c r="L19" s="63">
        <f t="shared" si="1"/>
        <v>0</v>
      </c>
      <c r="M19" s="350">
        <f t="shared" si="2"/>
        <v>736520.73076923075</v>
      </c>
      <c r="N19" s="54">
        <f>IF(M19&lt;&gt;0,+H19-M19,0)</f>
        <v>0</v>
      </c>
      <c r="O19" s="52">
        <f>+N19-L19</f>
        <v>0</v>
      </c>
      <c r="P19" s="1"/>
    </row>
    <row r="20" spans="2:16">
      <c r="B20" s="7" t="str">
        <f t="shared" ref="B20:B72" si="3">IF(D20=F19,"","IU")</f>
        <v>IU</v>
      </c>
      <c r="C20" s="50">
        <f>IF(D11="","-",+C19+1)</f>
        <v>2017</v>
      </c>
      <c r="D20" s="411">
        <v>4859829.192307692</v>
      </c>
      <c r="E20" s="412">
        <v>109984.30434782608</v>
      </c>
      <c r="F20" s="411">
        <v>4749844.8879598659</v>
      </c>
      <c r="G20" s="412">
        <v>714452.30434782605</v>
      </c>
      <c r="H20" s="414">
        <v>714452.30434782605</v>
      </c>
      <c r="I20" s="52">
        <f t="shared" ref="I20:I72" si="4">H20-G20</f>
        <v>0</v>
      </c>
      <c r="J20" s="52"/>
      <c r="K20" s="350">
        <f t="shared" si="0"/>
        <v>714452.30434782605</v>
      </c>
      <c r="L20" s="63">
        <f t="shared" si="1"/>
        <v>0</v>
      </c>
      <c r="M20" s="350">
        <f t="shared" si="2"/>
        <v>714452.30434782605</v>
      </c>
      <c r="N20" s="54">
        <f>IF(M20&lt;&gt;0,+H20-M20,0)</f>
        <v>0</v>
      </c>
      <c r="O20" s="52">
        <f>+N20-L20</f>
        <v>0</v>
      </c>
      <c r="P20" s="1"/>
    </row>
    <row r="21" spans="2:16">
      <c r="B21" s="7" t="str">
        <f t="shared" si="3"/>
        <v/>
      </c>
      <c r="C21" s="50">
        <f>IF(D11="","-",+C20+1)</f>
        <v>2018</v>
      </c>
      <c r="D21" s="411">
        <v>4749844.8879598659</v>
      </c>
      <c r="E21" s="412">
        <v>112428.4</v>
      </c>
      <c r="F21" s="411">
        <v>4637416.4879598655</v>
      </c>
      <c r="G21" s="412">
        <v>674532.63926355843</v>
      </c>
      <c r="H21" s="414">
        <v>674532.63926355843</v>
      </c>
      <c r="I21" s="52">
        <f t="shared" si="4"/>
        <v>0</v>
      </c>
      <c r="J21" s="52"/>
      <c r="K21" s="350">
        <f t="shared" si="0"/>
        <v>674532.63926355843</v>
      </c>
      <c r="L21" s="63">
        <f t="shared" si="1"/>
        <v>0</v>
      </c>
      <c r="M21" s="350">
        <f t="shared" si="2"/>
        <v>674532.63926355843</v>
      </c>
      <c r="N21" s="54">
        <f>IF(M21&lt;&gt;0,+H21-M21,0)</f>
        <v>0</v>
      </c>
      <c r="O21" s="52">
        <f>+N21-L21</f>
        <v>0</v>
      </c>
      <c r="P21" s="1"/>
    </row>
    <row r="22" spans="2:16">
      <c r="B22" s="7" t="str">
        <f t="shared" si="3"/>
        <v/>
      </c>
      <c r="C22" s="50">
        <f>IF(D11="","-",+C21+1)</f>
        <v>2019</v>
      </c>
      <c r="D22" s="411">
        <v>4637416.4879598655</v>
      </c>
      <c r="E22" s="412">
        <v>126481.95</v>
      </c>
      <c r="F22" s="411">
        <v>4510934.5379598653</v>
      </c>
      <c r="G22" s="412">
        <v>637218.97874084802</v>
      </c>
      <c r="H22" s="414">
        <v>637218.97874084802</v>
      </c>
      <c r="I22" s="52">
        <f t="shared" si="4"/>
        <v>0</v>
      </c>
      <c r="J22" s="52"/>
      <c r="K22" s="350">
        <f t="shared" si="0"/>
        <v>637218.97874084802</v>
      </c>
      <c r="L22" s="63">
        <f t="shared" si="1"/>
        <v>0</v>
      </c>
      <c r="M22" s="350">
        <f t="shared" si="2"/>
        <v>637218.97874084802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>
      <c r="B23" s="7" t="str">
        <f t="shared" si="3"/>
        <v>IU</v>
      </c>
      <c r="C23" s="50">
        <f>IF(D11="","-",+C22+1)</f>
        <v>2020</v>
      </c>
      <c r="D23" s="411">
        <v>4524988.0879598651</v>
      </c>
      <c r="E23" s="412">
        <v>120459</v>
      </c>
      <c r="F23" s="411">
        <v>4404529.0879598651</v>
      </c>
      <c r="G23" s="412">
        <v>602674.25524940272</v>
      </c>
      <c r="H23" s="414">
        <v>602674.25524940272</v>
      </c>
      <c r="I23" s="52">
        <f t="shared" si="4"/>
        <v>0</v>
      </c>
      <c r="J23" s="52"/>
      <c r="K23" s="350">
        <f t="shared" ref="K23" si="7">G23</f>
        <v>602674.25524940272</v>
      </c>
      <c r="L23" s="63">
        <f t="shared" ref="L23" si="8">IF(K23&lt;&gt;0,+G23-K23,0)</f>
        <v>0</v>
      </c>
      <c r="M23" s="350">
        <f t="shared" ref="M23" si="9">H23</f>
        <v>602674.25524940272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3"/>
        <v>IU</v>
      </c>
      <c r="C24" s="50">
        <f>IF(D11="","-",+C23+1)</f>
        <v>2021</v>
      </c>
      <c r="D24" s="411">
        <v>4390475.5379598662</v>
      </c>
      <c r="E24" s="412">
        <v>117657.62790697675</v>
      </c>
      <c r="F24" s="411">
        <v>4272817.910052889</v>
      </c>
      <c r="G24" s="412">
        <v>578359.62790697673</v>
      </c>
      <c r="H24" s="414">
        <v>578359.62790697673</v>
      </c>
      <c r="I24" s="52">
        <f t="shared" si="4"/>
        <v>0</v>
      </c>
      <c r="J24" s="52"/>
      <c r="K24" s="350">
        <f t="shared" ref="K24" si="10">G24</f>
        <v>578359.62790697673</v>
      </c>
      <c r="L24" s="63">
        <f t="shared" ref="L24" si="11">IF(K24&lt;&gt;0,+G24-K24,0)</f>
        <v>0</v>
      </c>
      <c r="M24" s="350">
        <f t="shared" ref="M24" si="12">H24</f>
        <v>578359.62790697673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3"/>
        <v/>
      </c>
      <c r="C25" s="50">
        <f>IF(D11="","-",+C24+1)</f>
        <v>2022</v>
      </c>
      <c r="D25" s="411">
        <v>4272817.910052889</v>
      </c>
      <c r="E25" s="412">
        <v>120459</v>
      </c>
      <c r="F25" s="411">
        <v>4152358.910052889</v>
      </c>
      <c r="G25" s="412">
        <v>568130</v>
      </c>
      <c r="H25" s="414">
        <v>568130</v>
      </c>
      <c r="I25" s="52">
        <f t="shared" si="4"/>
        <v>0</v>
      </c>
      <c r="J25" s="52"/>
      <c r="K25" s="350">
        <f t="shared" ref="K25" si="13">G25</f>
        <v>568130</v>
      </c>
      <c r="L25" s="63">
        <f t="shared" ref="L25" si="14">IF(K25&lt;&gt;0,+G25-K25,0)</f>
        <v>0</v>
      </c>
      <c r="M25" s="350">
        <f t="shared" ref="M25" si="15">H25</f>
        <v>568130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3"/>
        <v>IU</v>
      </c>
      <c r="C26" s="50">
        <f>IF(D11="","-",+C25+1)</f>
        <v>2023</v>
      </c>
      <c r="D26" s="411">
        <v>4152358.9500528886</v>
      </c>
      <c r="E26" s="412">
        <v>129725.07794871792</v>
      </c>
      <c r="F26" s="411">
        <v>4022633.8721041707</v>
      </c>
      <c r="G26" s="412">
        <v>609862.07794871787</v>
      </c>
      <c r="H26" s="414">
        <v>609862.07794871787</v>
      </c>
      <c r="I26" s="52">
        <f t="shared" si="4"/>
        <v>0</v>
      </c>
      <c r="J26" s="52"/>
      <c r="K26" s="350">
        <f t="shared" ref="K26" si="16">G26</f>
        <v>609862.07794871787</v>
      </c>
      <c r="L26" s="63">
        <f t="shared" ref="L26" si="17">IF(K26&lt;&gt;0,+G26-K26,0)</f>
        <v>0</v>
      </c>
      <c r="M26" s="350">
        <f t="shared" ref="M26" si="18">H26</f>
        <v>609862.07794871787</v>
      </c>
      <c r="N26" s="54">
        <f t="shared" si="5"/>
        <v>0</v>
      </c>
      <c r="O26" s="54">
        <f t="shared" si="6"/>
        <v>0</v>
      </c>
      <c r="P26" s="1"/>
    </row>
    <row r="27" spans="2:16">
      <c r="B27" s="7" t="str">
        <f t="shared" si="3"/>
        <v/>
      </c>
      <c r="C27" s="50">
        <f>IF(D11="","-",+C26+1)</f>
        <v>2024</v>
      </c>
      <c r="D27" s="411">
        <v>4022633.8721041707</v>
      </c>
      <c r="E27" s="412">
        <v>133138.89578947367</v>
      </c>
      <c r="F27" s="411">
        <v>3889494.9763146969</v>
      </c>
      <c r="G27" s="412">
        <v>575530.89578947367</v>
      </c>
      <c r="H27" s="414">
        <v>575530.89578947367</v>
      </c>
      <c r="I27" s="52">
        <f t="shared" si="4"/>
        <v>0</v>
      </c>
      <c r="J27" s="52"/>
      <c r="K27" s="350">
        <f t="shared" ref="K27" si="19">G27</f>
        <v>575530.89578947367</v>
      </c>
      <c r="L27" s="63">
        <f t="shared" ref="L27" si="20">IF(K27&lt;&gt;0,+G27-K27,0)</f>
        <v>0</v>
      </c>
      <c r="M27" s="350">
        <f t="shared" ref="M27" si="21">H27</f>
        <v>575530.89578947367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>
      <c r="B28" s="7" t="str">
        <f t="shared" si="3"/>
        <v/>
      </c>
      <c r="C28" s="50">
        <f>IF(D11="","-",+C27+1)</f>
        <v>2025</v>
      </c>
      <c r="D28" s="411">
        <v>3889494.9763146969</v>
      </c>
      <c r="E28" s="412">
        <v>133138.89578947367</v>
      </c>
      <c r="F28" s="411">
        <v>3756356.0805252232</v>
      </c>
      <c r="G28" s="412">
        <v>559884.89578947367</v>
      </c>
      <c r="H28" s="414">
        <v>559884.89578947367</v>
      </c>
      <c r="I28" s="52">
        <f t="shared" si="4"/>
        <v>0</v>
      </c>
      <c r="J28" s="52"/>
      <c r="K28" s="350">
        <f t="shared" ref="K28" si="24">G28</f>
        <v>559884.89578947367</v>
      </c>
      <c r="L28" s="63">
        <f t="shared" ref="L28" si="25">IF(K28&lt;&gt;0,+G28-K28,0)</f>
        <v>0</v>
      </c>
      <c r="M28" s="350">
        <f t="shared" ref="M28" si="26">H28</f>
        <v>559884.89578947367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3756356.0805252232</v>
      </c>
      <c r="E29" s="354">
        <f t="shared" ref="E29:E72" si="29">IF(+$I$14&lt;F28,$I$14,D29)</f>
        <v>133138.89578947367</v>
      </c>
      <c r="F29" s="55">
        <f t="shared" ref="F29:F72" si="30">+D29-E29</f>
        <v>3623217.1847357494</v>
      </c>
      <c r="G29" s="355">
        <f t="shared" ref="G29:G72" si="31">(D29+F29)/2*I$12+E29</f>
        <v>552322.61942614336</v>
      </c>
      <c r="H29" s="336">
        <f t="shared" ref="H29:H72" si="32">+(D29+F29)/2*I$13+E29</f>
        <v>552322.61942614336</v>
      </c>
      <c r="I29" s="52">
        <f t="shared" si="4"/>
        <v>0</v>
      </c>
      <c r="J29" s="52"/>
      <c r="K29" s="115"/>
      <c r="L29" s="54">
        <f t="shared" ref="L29:L72" si="33">IF(K29&lt;&gt;0,+G29-K29,0)</f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3623217.1847357494</v>
      </c>
      <c r="E30" s="354">
        <f t="shared" si="29"/>
        <v>133138.89578947367</v>
      </c>
      <c r="F30" s="55">
        <f t="shared" si="30"/>
        <v>3490078.2889462756</v>
      </c>
      <c r="G30" s="355">
        <f t="shared" si="31"/>
        <v>537197.17623537593</v>
      </c>
      <c r="H30" s="336">
        <f t="shared" si="32"/>
        <v>537197.17623537593</v>
      </c>
      <c r="I30" s="52">
        <f t="shared" si="4"/>
        <v>0</v>
      </c>
      <c r="J30" s="52"/>
      <c r="K30" s="115"/>
      <c r="L30" s="54">
        <f t="shared" si="33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3490078.2889462756</v>
      </c>
      <c r="E31" s="354">
        <f t="shared" si="29"/>
        <v>133138.89578947367</v>
      </c>
      <c r="F31" s="55">
        <f t="shared" si="30"/>
        <v>3356939.3931568018</v>
      </c>
      <c r="G31" s="355">
        <f t="shared" si="31"/>
        <v>522071.73304460821</v>
      </c>
      <c r="H31" s="336">
        <f t="shared" si="32"/>
        <v>522071.73304460821</v>
      </c>
      <c r="I31" s="52">
        <f t="shared" si="4"/>
        <v>0</v>
      </c>
      <c r="J31" s="52"/>
      <c r="K31" s="115"/>
      <c r="L31" s="54">
        <f t="shared" si="33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3356939.3931568018</v>
      </c>
      <c r="E32" s="354">
        <f t="shared" si="29"/>
        <v>133138.89578947367</v>
      </c>
      <c r="F32" s="55">
        <f t="shared" si="30"/>
        <v>3223800.497367328</v>
      </c>
      <c r="G32" s="355">
        <f t="shared" si="31"/>
        <v>506946.28985384066</v>
      </c>
      <c r="H32" s="336">
        <f t="shared" si="32"/>
        <v>506946.28985384066</v>
      </c>
      <c r="I32" s="52">
        <f t="shared" si="4"/>
        <v>0</v>
      </c>
      <c r="J32" s="52"/>
      <c r="K32" s="115"/>
      <c r="L32" s="54">
        <f t="shared" si="33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3223800.497367328</v>
      </c>
      <c r="E33" s="354">
        <f t="shared" si="29"/>
        <v>133138.89578947367</v>
      </c>
      <c r="F33" s="55">
        <f t="shared" si="30"/>
        <v>3090661.6015778542</v>
      </c>
      <c r="G33" s="355">
        <f t="shared" si="31"/>
        <v>491820.846663073</v>
      </c>
      <c r="H33" s="336">
        <f t="shared" si="32"/>
        <v>491820.846663073</v>
      </c>
      <c r="I33" s="52">
        <f t="shared" si="4"/>
        <v>0</v>
      </c>
      <c r="J33" s="52"/>
      <c r="K33" s="115"/>
      <c r="L33" s="54">
        <f t="shared" si="33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3090661.6015778542</v>
      </c>
      <c r="E34" s="354">
        <f t="shared" si="29"/>
        <v>133138.89578947367</v>
      </c>
      <c r="F34" s="55">
        <f t="shared" si="30"/>
        <v>2957522.7057883805</v>
      </c>
      <c r="G34" s="355">
        <f t="shared" si="31"/>
        <v>476695.40347230539</v>
      </c>
      <c r="H34" s="336">
        <f t="shared" si="32"/>
        <v>476695.40347230539</v>
      </c>
      <c r="I34" s="52">
        <f t="shared" si="4"/>
        <v>0</v>
      </c>
      <c r="J34" s="52"/>
      <c r="K34" s="115"/>
      <c r="L34" s="54">
        <f t="shared" si="33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2957522.7057883805</v>
      </c>
      <c r="E35" s="354">
        <f t="shared" si="29"/>
        <v>133138.89578947367</v>
      </c>
      <c r="F35" s="55">
        <f t="shared" si="30"/>
        <v>2824383.8099989067</v>
      </c>
      <c r="G35" s="355">
        <f t="shared" si="31"/>
        <v>461569.96028153773</v>
      </c>
      <c r="H35" s="336">
        <f t="shared" si="32"/>
        <v>461569.96028153773</v>
      </c>
      <c r="I35" s="52">
        <f t="shared" si="4"/>
        <v>0</v>
      </c>
      <c r="J35" s="52"/>
      <c r="K35" s="115"/>
      <c r="L35" s="54">
        <f t="shared" si="33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2824383.8099989067</v>
      </c>
      <c r="E36" s="354">
        <f t="shared" si="29"/>
        <v>133138.89578947367</v>
      </c>
      <c r="F36" s="55">
        <f t="shared" si="30"/>
        <v>2691244.9142094329</v>
      </c>
      <c r="G36" s="355">
        <f t="shared" si="31"/>
        <v>446444.51709077018</v>
      </c>
      <c r="H36" s="336">
        <f t="shared" si="32"/>
        <v>446444.51709077018</v>
      </c>
      <c r="I36" s="52">
        <f t="shared" si="4"/>
        <v>0</v>
      </c>
      <c r="J36" s="52"/>
      <c r="K36" s="115"/>
      <c r="L36" s="54">
        <f t="shared" si="33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2691244.9142094329</v>
      </c>
      <c r="E37" s="354">
        <f t="shared" si="29"/>
        <v>133138.89578947367</v>
      </c>
      <c r="F37" s="55">
        <f t="shared" si="30"/>
        <v>2558106.0184199591</v>
      </c>
      <c r="G37" s="355">
        <f t="shared" si="31"/>
        <v>431319.07390000252</v>
      </c>
      <c r="H37" s="336">
        <f t="shared" si="32"/>
        <v>431319.07390000252</v>
      </c>
      <c r="I37" s="52">
        <f t="shared" si="4"/>
        <v>0</v>
      </c>
      <c r="J37" s="52"/>
      <c r="K37" s="115"/>
      <c r="L37" s="54">
        <f t="shared" si="33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2558106.0184199591</v>
      </c>
      <c r="E38" s="354">
        <f t="shared" si="29"/>
        <v>133138.89578947367</v>
      </c>
      <c r="F38" s="55">
        <f t="shared" si="30"/>
        <v>2424967.1226304853</v>
      </c>
      <c r="G38" s="355">
        <f t="shared" si="31"/>
        <v>416193.63070923497</v>
      </c>
      <c r="H38" s="336">
        <f t="shared" si="32"/>
        <v>416193.63070923497</v>
      </c>
      <c r="I38" s="52">
        <f t="shared" si="4"/>
        <v>0</v>
      </c>
      <c r="J38" s="52"/>
      <c r="K38" s="115"/>
      <c r="L38" s="54">
        <f t="shared" si="33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2424967.1226304853</v>
      </c>
      <c r="E39" s="354">
        <f t="shared" si="29"/>
        <v>133138.89578947367</v>
      </c>
      <c r="F39" s="55">
        <f t="shared" si="30"/>
        <v>2291828.2268410116</v>
      </c>
      <c r="G39" s="355">
        <f t="shared" si="31"/>
        <v>401068.18751846725</v>
      </c>
      <c r="H39" s="336">
        <f t="shared" si="32"/>
        <v>401068.18751846725</v>
      </c>
      <c r="I39" s="52">
        <f t="shared" si="4"/>
        <v>0</v>
      </c>
      <c r="J39" s="52"/>
      <c r="K39" s="115"/>
      <c r="L39" s="54">
        <f t="shared" si="33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2291828.2268410116</v>
      </c>
      <c r="E40" s="354">
        <f t="shared" si="29"/>
        <v>133138.89578947367</v>
      </c>
      <c r="F40" s="55">
        <f t="shared" si="30"/>
        <v>2158689.3310515378</v>
      </c>
      <c r="G40" s="355">
        <f t="shared" si="31"/>
        <v>385942.74432769971</v>
      </c>
      <c r="H40" s="336">
        <f t="shared" si="32"/>
        <v>385942.74432769971</v>
      </c>
      <c r="I40" s="52">
        <f t="shared" si="4"/>
        <v>0</v>
      </c>
      <c r="J40" s="52"/>
      <c r="K40" s="115"/>
      <c r="L40" s="54">
        <f t="shared" si="33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2158689.3310515378</v>
      </c>
      <c r="E41" s="354">
        <f t="shared" si="29"/>
        <v>133138.89578947367</v>
      </c>
      <c r="F41" s="55">
        <f t="shared" si="30"/>
        <v>2025550.435262064</v>
      </c>
      <c r="G41" s="355">
        <f t="shared" si="31"/>
        <v>370817.3011369321</v>
      </c>
      <c r="H41" s="336">
        <f t="shared" si="32"/>
        <v>370817.3011369321</v>
      </c>
      <c r="I41" s="52">
        <f t="shared" si="4"/>
        <v>0</v>
      </c>
      <c r="J41" s="52"/>
      <c r="K41" s="115"/>
      <c r="L41" s="54">
        <f t="shared" si="33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2025550.435262064</v>
      </c>
      <c r="E42" s="354">
        <f t="shared" si="29"/>
        <v>133138.89578947367</v>
      </c>
      <c r="F42" s="55">
        <f t="shared" si="30"/>
        <v>1892411.5394725902</v>
      </c>
      <c r="G42" s="355">
        <f t="shared" si="31"/>
        <v>355691.85794616444</v>
      </c>
      <c r="H42" s="336">
        <f t="shared" si="32"/>
        <v>355691.85794616444</v>
      </c>
      <c r="I42" s="52">
        <f t="shared" si="4"/>
        <v>0</v>
      </c>
      <c r="J42" s="52"/>
      <c r="K42" s="115"/>
      <c r="L42" s="54">
        <f t="shared" si="33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1892411.5394725902</v>
      </c>
      <c r="E43" s="354">
        <f t="shared" si="29"/>
        <v>133138.89578947367</v>
      </c>
      <c r="F43" s="55">
        <f t="shared" si="30"/>
        <v>1759272.6436831164</v>
      </c>
      <c r="G43" s="355">
        <f t="shared" si="31"/>
        <v>340566.41475539684</v>
      </c>
      <c r="H43" s="336">
        <f t="shared" si="32"/>
        <v>340566.41475539684</v>
      </c>
      <c r="I43" s="52">
        <f t="shared" si="4"/>
        <v>0</v>
      </c>
      <c r="J43" s="52"/>
      <c r="K43" s="115"/>
      <c r="L43" s="54">
        <f t="shared" si="33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1759272.6436831164</v>
      </c>
      <c r="E44" s="354">
        <f t="shared" si="29"/>
        <v>133138.89578947367</v>
      </c>
      <c r="F44" s="55">
        <f t="shared" si="30"/>
        <v>1626133.7478936426</v>
      </c>
      <c r="G44" s="355">
        <f t="shared" si="31"/>
        <v>325440.97156462923</v>
      </c>
      <c r="H44" s="336">
        <f t="shared" si="32"/>
        <v>325440.97156462923</v>
      </c>
      <c r="I44" s="52">
        <f t="shared" si="4"/>
        <v>0</v>
      </c>
      <c r="J44" s="52"/>
      <c r="K44" s="115"/>
      <c r="L44" s="54">
        <f t="shared" si="33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1626133.7478936426</v>
      </c>
      <c r="E45" s="354">
        <f t="shared" si="29"/>
        <v>133138.89578947367</v>
      </c>
      <c r="F45" s="55">
        <f t="shared" si="30"/>
        <v>1492994.8521041689</v>
      </c>
      <c r="G45" s="355">
        <f t="shared" si="31"/>
        <v>310315.52837386163</v>
      </c>
      <c r="H45" s="336">
        <f t="shared" si="32"/>
        <v>310315.52837386163</v>
      </c>
      <c r="I45" s="52">
        <f t="shared" si="4"/>
        <v>0</v>
      </c>
      <c r="J45" s="52"/>
      <c r="K45" s="115"/>
      <c r="L45" s="54">
        <f t="shared" si="33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1492994.8521041689</v>
      </c>
      <c r="E46" s="354">
        <f t="shared" si="29"/>
        <v>133138.89578947367</v>
      </c>
      <c r="F46" s="55">
        <f t="shared" si="30"/>
        <v>1359855.9563146951</v>
      </c>
      <c r="G46" s="355">
        <f t="shared" si="31"/>
        <v>295190.08518309402</v>
      </c>
      <c r="H46" s="336">
        <f t="shared" si="32"/>
        <v>295190.08518309402</v>
      </c>
      <c r="I46" s="52">
        <f t="shared" si="4"/>
        <v>0</v>
      </c>
      <c r="J46" s="52"/>
      <c r="K46" s="115"/>
      <c r="L46" s="54">
        <f t="shared" si="33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1359855.9563146951</v>
      </c>
      <c r="E47" s="354">
        <f t="shared" si="29"/>
        <v>133138.89578947367</v>
      </c>
      <c r="F47" s="55">
        <f t="shared" si="30"/>
        <v>1226717.0605252213</v>
      </c>
      <c r="G47" s="355">
        <f t="shared" si="31"/>
        <v>280064.64199232636</v>
      </c>
      <c r="H47" s="336">
        <f t="shared" si="32"/>
        <v>280064.64199232636</v>
      </c>
      <c r="I47" s="52">
        <f t="shared" si="4"/>
        <v>0</v>
      </c>
      <c r="J47" s="52"/>
      <c r="K47" s="115"/>
      <c r="L47" s="54">
        <f t="shared" si="33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1226717.0605252213</v>
      </c>
      <c r="E48" s="354">
        <f t="shared" si="29"/>
        <v>133138.89578947367</v>
      </c>
      <c r="F48" s="55">
        <f t="shared" si="30"/>
        <v>1093578.1647357475</v>
      </c>
      <c r="G48" s="355">
        <f t="shared" si="31"/>
        <v>264939.19880155876</v>
      </c>
      <c r="H48" s="336">
        <f t="shared" si="32"/>
        <v>264939.19880155876</v>
      </c>
      <c r="I48" s="52">
        <f t="shared" si="4"/>
        <v>0</v>
      </c>
      <c r="J48" s="52"/>
      <c r="K48" s="115"/>
      <c r="L48" s="54">
        <f t="shared" si="33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1093578.1647357475</v>
      </c>
      <c r="E49" s="354">
        <f t="shared" si="29"/>
        <v>133138.89578947367</v>
      </c>
      <c r="F49" s="55">
        <f t="shared" si="30"/>
        <v>960439.26894627383</v>
      </c>
      <c r="G49" s="355">
        <f t="shared" si="31"/>
        <v>249813.75561079115</v>
      </c>
      <c r="H49" s="336">
        <f t="shared" si="32"/>
        <v>249813.75561079115</v>
      </c>
      <c r="I49" s="52">
        <f t="shared" si="4"/>
        <v>0</v>
      </c>
      <c r="J49" s="52"/>
      <c r="K49" s="115"/>
      <c r="L49" s="54">
        <f t="shared" si="33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960439.26894627383</v>
      </c>
      <c r="E50" s="354">
        <f t="shared" si="29"/>
        <v>133138.89578947367</v>
      </c>
      <c r="F50" s="55">
        <f t="shared" si="30"/>
        <v>827300.37315680017</v>
      </c>
      <c r="G50" s="355">
        <f t="shared" si="31"/>
        <v>234688.31242002355</v>
      </c>
      <c r="H50" s="336">
        <f t="shared" si="32"/>
        <v>234688.31242002355</v>
      </c>
      <c r="I50" s="52">
        <f t="shared" si="4"/>
        <v>0</v>
      </c>
      <c r="J50" s="52"/>
      <c r="K50" s="115"/>
      <c r="L50" s="54">
        <f t="shared" si="33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827300.37315680017</v>
      </c>
      <c r="E51" s="354">
        <f t="shared" si="29"/>
        <v>133138.89578947367</v>
      </c>
      <c r="F51" s="55">
        <f t="shared" si="30"/>
        <v>694161.4773673265</v>
      </c>
      <c r="G51" s="355">
        <f t="shared" si="31"/>
        <v>219562.86922925594</v>
      </c>
      <c r="H51" s="336">
        <f t="shared" si="32"/>
        <v>219562.86922925594</v>
      </c>
      <c r="I51" s="52">
        <f t="shared" si="4"/>
        <v>0</v>
      </c>
      <c r="J51" s="52"/>
      <c r="K51" s="115"/>
      <c r="L51" s="54">
        <f t="shared" si="33"/>
        <v>0</v>
      </c>
      <c r="M51" s="115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694161.4773673265</v>
      </c>
      <c r="E52" s="354">
        <f t="shared" si="29"/>
        <v>133138.89578947367</v>
      </c>
      <c r="F52" s="55">
        <f t="shared" si="30"/>
        <v>561022.58157785283</v>
      </c>
      <c r="G52" s="355">
        <f t="shared" si="31"/>
        <v>204437.42603848834</v>
      </c>
      <c r="H52" s="336">
        <f t="shared" si="32"/>
        <v>204437.42603848834</v>
      </c>
      <c r="I52" s="52">
        <f t="shared" si="4"/>
        <v>0</v>
      </c>
      <c r="J52" s="52"/>
      <c r="K52" s="115"/>
      <c r="L52" s="54">
        <f t="shared" si="33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561022.58157785283</v>
      </c>
      <c r="E53" s="354">
        <f t="shared" si="29"/>
        <v>133138.89578947367</v>
      </c>
      <c r="F53" s="55">
        <f t="shared" si="30"/>
        <v>427883.68578837917</v>
      </c>
      <c r="G53" s="355">
        <f t="shared" si="31"/>
        <v>189311.98284772073</v>
      </c>
      <c r="H53" s="336">
        <f t="shared" si="32"/>
        <v>189311.98284772073</v>
      </c>
      <c r="I53" s="52">
        <f t="shared" si="4"/>
        <v>0</v>
      </c>
      <c r="J53" s="52"/>
      <c r="K53" s="115"/>
      <c r="L53" s="54">
        <f t="shared" si="33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427883.68578837917</v>
      </c>
      <c r="E54" s="354">
        <f t="shared" si="29"/>
        <v>133138.89578947367</v>
      </c>
      <c r="F54" s="55">
        <f t="shared" si="30"/>
        <v>294744.7899989055</v>
      </c>
      <c r="G54" s="355">
        <f t="shared" si="31"/>
        <v>174186.53965695313</v>
      </c>
      <c r="H54" s="336">
        <f t="shared" si="32"/>
        <v>174186.53965695313</v>
      </c>
      <c r="I54" s="52">
        <f t="shared" si="4"/>
        <v>0</v>
      </c>
      <c r="J54" s="52"/>
      <c r="K54" s="115"/>
      <c r="L54" s="54">
        <f t="shared" si="33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294744.7899989055</v>
      </c>
      <c r="E55" s="354">
        <f t="shared" si="29"/>
        <v>133138.89578947367</v>
      </c>
      <c r="F55" s="55">
        <f t="shared" si="30"/>
        <v>161605.89420943183</v>
      </c>
      <c r="G55" s="355">
        <f t="shared" si="31"/>
        <v>159061.09646618555</v>
      </c>
      <c r="H55" s="336">
        <f t="shared" si="32"/>
        <v>159061.09646618555</v>
      </c>
      <c r="I55" s="52">
        <f t="shared" si="4"/>
        <v>0</v>
      </c>
      <c r="J55" s="52"/>
      <c r="K55" s="115"/>
      <c r="L55" s="54">
        <f t="shared" si="33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161605.89420943183</v>
      </c>
      <c r="E56" s="354">
        <f t="shared" si="29"/>
        <v>133138.89578947367</v>
      </c>
      <c r="F56" s="55">
        <f t="shared" si="30"/>
        <v>28466.998419958167</v>
      </c>
      <c r="G56" s="355">
        <f t="shared" si="31"/>
        <v>143935.65327541795</v>
      </c>
      <c r="H56" s="336">
        <f t="shared" si="32"/>
        <v>143935.65327541795</v>
      </c>
      <c r="I56" s="52">
        <f t="shared" si="4"/>
        <v>0</v>
      </c>
      <c r="J56" s="52"/>
      <c r="K56" s="115"/>
      <c r="L56" s="54">
        <f t="shared" si="33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28466.998419958167</v>
      </c>
      <c r="E57" s="354">
        <f t="shared" si="29"/>
        <v>28466.998419958167</v>
      </c>
      <c r="F57" s="55">
        <f t="shared" si="30"/>
        <v>0</v>
      </c>
      <c r="G57" s="355">
        <f t="shared" si="31"/>
        <v>30084.016365238404</v>
      </c>
      <c r="H57" s="336">
        <f t="shared" si="32"/>
        <v>30084.016365238404</v>
      </c>
      <c r="I57" s="52">
        <f t="shared" si="4"/>
        <v>0</v>
      </c>
      <c r="J57" s="52"/>
      <c r="K57" s="115"/>
      <c r="L57" s="54">
        <f t="shared" si="33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0</v>
      </c>
      <c r="E58" s="354">
        <f t="shared" si="29"/>
        <v>0</v>
      </c>
      <c r="F58" s="55">
        <f t="shared" si="30"/>
        <v>0</v>
      </c>
      <c r="G58" s="355">
        <f t="shared" si="31"/>
        <v>0</v>
      </c>
      <c r="H58" s="336">
        <f t="shared" si="32"/>
        <v>0</v>
      </c>
      <c r="I58" s="52">
        <f t="shared" si="4"/>
        <v>0</v>
      </c>
      <c r="J58" s="52"/>
      <c r="K58" s="115"/>
      <c r="L58" s="54">
        <f t="shared" si="33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0</v>
      </c>
      <c r="E59" s="354">
        <f t="shared" si="29"/>
        <v>0</v>
      </c>
      <c r="F59" s="55">
        <f t="shared" si="30"/>
        <v>0</v>
      </c>
      <c r="G59" s="355">
        <f t="shared" si="31"/>
        <v>0</v>
      </c>
      <c r="H59" s="336">
        <f t="shared" si="32"/>
        <v>0</v>
      </c>
      <c r="I59" s="52">
        <f t="shared" si="4"/>
        <v>0</v>
      </c>
      <c r="J59" s="52"/>
      <c r="K59" s="115"/>
      <c r="L59" s="54">
        <f t="shared" si="33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54">
        <f t="shared" si="29"/>
        <v>0</v>
      </c>
      <c r="F60" s="55">
        <f t="shared" si="30"/>
        <v>0</v>
      </c>
      <c r="G60" s="355">
        <f t="shared" si="31"/>
        <v>0</v>
      </c>
      <c r="H60" s="336">
        <f t="shared" si="32"/>
        <v>0</v>
      </c>
      <c r="I60" s="52">
        <f t="shared" si="4"/>
        <v>0</v>
      </c>
      <c r="J60" s="52"/>
      <c r="K60" s="115"/>
      <c r="L60" s="54">
        <f t="shared" si="33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54">
        <f t="shared" si="29"/>
        <v>0</v>
      </c>
      <c r="F61" s="55">
        <f t="shared" si="30"/>
        <v>0</v>
      </c>
      <c r="G61" s="355">
        <f t="shared" si="31"/>
        <v>0</v>
      </c>
      <c r="H61" s="336">
        <f t="shared" si="32"/>
        <v>0</v>
      </c>
      <c r="I61" s="52">
        <f t="shared" si="4"/>
        <v>0</v>
      </c>
      <c r="J61" s="52"/>
      <c r="K61" s="115"/>
      <c r="L61" s="54">
        <f t="shared" si="33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54">
        <f t="shared" si="29"/>
        <v>0</v>
      </c>
      <c r="F62" s="55">
        <f t="shared" si="30"/>
        <v>0</v>
      </c>
      <c r="G62" s="355">
        <f t="shared" si="31"/>
        <v>0</v>
      </c>
      <c r="H62" s="336">
        <f t="shared" si="32"/>
        <v>0</v>
      </c>
      <c r="I62" s="52">
        <f t="shared" si="4"/>
        <v>0</v>
      </c>
      <c r="J62" s="52"/>
      <c r="K62" s="115"/>
      <c r="L62" s="54">
        <f t="shared" si="33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54">
        <f t="shared" si="29"/>
        <v>0</v>
      </c>
      <c r="F63" s="55">
        <f t="shared" si="30"/>
        <v>0</v>
      </c>
      <c r="G63" s="355">
        <f t="shared" si="31"/>
        <v>0</v>
      </c>
      <c r="H63" s="336">
        <f t="shared" si="32"/>
        <v>0</v>
      </c>
      <c r="I63" s="52">
        <f t="shared" si="4"/>
        <v>0</v>
      </c>
      <c r="J63" s="52"/>
      <c r="K63" s="115"/>
      <c r="L63" s="54">
        <f t="shared" si="33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54">
        <f t="shared" si="29"/>
        <v>0</v>
      </c>
      <c r="F64" s="55">
        <f t="shared" si="30"/>
        <v>0</v>
      </c>
      <c r="G64" s="355">
        <f t="shared" si="31"/>
        <v>0</v>
      </c>
      <c r="H64" s="336">
        <f t="shared" si="32"/>
        <v>0</v>
      </c>
      <c r="I64" s="52">
        <f t="shared" si="4"/>
        <v>0</v>
      </c>
      <c r="J64" s="52"/>
      <c r="K64" s="115"/>
      <c r="L64" s="54">
        <f t="shared" si="33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54">
        <f t="shared" si="29"/>
        <v>0</v>
      </c>
      <c r="F65" s="55">
        <f t="shared" si="30"/>
        <v>0</v>
      </c>
      <c r="G65" s="355">
        <f t="shared" si="31"/>
        <v>0</v>
      </c>
      <c r="H65" s="336">
        <f t="shared" si="32"/>
        <v>0</v>
      </c>
      <c r="I65" s="52">
        <f t="shared" si="4"/>
        <v>0</v>
      </c>
      <c r="J65" s="52"/>
      <c r="K65" s="115"/>
      <c r="L65" s="54">
        <f t="shared" si="33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54">
        <f t="shared" si="29"/>
        <v>0</v>
      </c>
      <c r="F66" s="55">
        <f t="shared" si="30"/>
        <v>0</v>
      </c>
      <c r="G66" s="355">
        <f t="shared" si="31"/>
        <v>0</v>
      </c>
      <c r="H66" s="336">
        <f t="shared" si="32"/>
        <v>0</v>
      </c>
      <c r="I66" s="52">
        <f t="shared" si="4"/>
        <v>0</v>
      </c>
      <c r="J66" s="52"/>
      <c r="K66" s="115"/>
      <c r="L66" s="54">
        <f t="shared" si="33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54">
        <f t="shared" si="29"/>
        <v>0</v>
      </c>
      <c r="F67" s="55">
        <f t="shared" si="30"/>
        <v>0</v>
      </c>
      <c r="G67" s="355">
        <f t="shared" si="31"/>
        <v>0</v>
      </c>
      <c r="H67" s="336">
        <f t="shared" si="32"/>
        <v>0</v>
      </c>
      <c r="I67" s="52">
        <f t="shared" si="4"/>
        <v>0</v>
      </c>
      <c r="J67" s="52"/>
      <c r="K67" s="115"/>
      <c r="L67" s="54">
        <f t="shared" si="33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54">
        <f t="shared" si="29"/>
        <v>0</v>
      </c>
      <c r="F68" s="55">
        <f t="shared" si="30"/>
        <v>0</v>
      </c>
      <c r="G68" s="355">
        <f t="shared" si="31"/>
        <v>0</v>
      </c>
      <c r="H68" s="336">
        <f t="shared" si="32"/>
        <v>0</v>
      </c>
      <c r="I68" s="52">
        <f t="shared" si="4"/>
        <v>0</v>
      </c>
      <c r="J68" s="52"/>
      <c r="K68" s="115"/>
      <c r="L68" s="54">
        <f t="shared" si="33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54">
        <f t="shared" si="29"/>
        <v>0</v>
      </c>
      <c r="F69" s="55">
        <f t="shared" si="30"/>
        <v>0</v>
      </c>
      <c r="G69" s="355">
        <f t="shared" si="31"/>
        <v>0</v>
      </c>
      <c r="H69" s="336">
        <f t="shared" si="32"/>
        <v>0</v>
      </c>
      <c r="I69" s="52">
        <f t="shared" si="4"/>
        <v>0</v>
      </c>
      <c r="J69" s="52"/>
      <c r="K69" s="115"/>
      <c r="L69" s="54">
        <f t="shared" si="33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54">
        <f t="shared" si="29"/>
        <v>0</v>
      </c>
      <c r="F70" s="55">
        <f t="shared" si="30"/>
        <v>0</v>
      </c>
      <c r="G70" s="355">
        <f t="shared" si="31"/>
        <v>0</v>
      </c>
      <c r="H70" s="336">
        <f t="shared" si="32"/>
        <v>0</v>
      </c>
      <c r="I70" s="52">
        <f t="shared" si="4"/>
        <v>0</v>
      </c>
      <c r="J70" s="52"/>
      <c r="K70" s="115"/>
      <c r="L70" s="54">
        <f t="shared" si="33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54">
        <f t="shared" si="29"/>
        <v>0</v>
      </c>
      <c r="F71" s="55">
        <f t="shared" si="30"/>
        <v>0</v>
      </c>
      <c r="G71" s="355">
        <f t="shared" si="31"/>
        <v>0</v>
      </c>
      <c r="H71" s="336">
        <f t="shared" si="32"/>
        <v>0</v>
      </c>
      <c r="I71" s="52">
        <f t="shared" si="4"/>
        <v>0</v>
      </c>
      <c r="J71" s="52"/>
      <c r="K71" s="115"/>
      <c r="L71" s="54">
        <f t="shared" si="33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3"/>
        <v/>
      </c>
      <c r="C72" s="58">
        <f>IF(D11="","-",+C71+1)</f>
        <v>2069</v>
      </c>
      <c r="D72" s="59">
        <f>IF(F71+SUM(E$17:E71)=D$10,F71,D$10-SUM(E$17:E71))</f>
        <v>0</v>
      </c>
      <c r="E72" s="357">
        <f t="shared" si="29"/>
        <v>0</v>
      </c>
      <c r="F72" s="59">
        <f t="shared" si="30"/>
        <v>0</v>
      </c>
      <c r="G72" s="59">
        <f t="shared" si="31"/>
        <v>0</v>
      </c>
      <c r="H72" s="59">
        <f t="shared" si="32"/>
        <v>0</v>
      </c>
      <c r="I72" s="62">
        <f t="shared" si="4"/>
        <v>0</v>
      </c>
      <c r="J72" s="59"/>
      <c r="K72" s="116"/>
      <c r="L72" s="62">
        <f t="shared" si="33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>
      <c r="C73" s="12" t="s">
        <v>77</v>
      </c>
      <c r="D73" s="266"/>
      <c r="E73" s="266">
        <f>SUM(E17:E72)</f>
        <v>5059278.0399999972</v>
      </c>
      <c r="F73" s="266"/>
      <c r="G73" s="266">
        <f>SUM(G17:G72)</f>
        <v>17583048.263060745</v>
      </c>
      <c r="H73" s="266">
        <f>SUM(H17:H72)</f>
        <v>17583048.263060745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16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559884.89578947367</v>
      </c>
      <c r="N87" s="364">
        <f>IF(J92&lt;D11,0,VLOOKUP(J92,C17:O72,11))</f>
        <v>559884.89578947367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590304.81740299938</v>
      </c>
      <c r="N88" s="367">
        <f>IF(J92&lt;D11,0,VLOOKUP(J92,C99:P154,7))</f>
        <v>590304.81740299938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Cornville Station Conversion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30419.921613525716</v>
      </c>
      <c r="N89" s="369">
        <f>+N88-N87</f>
        <v>30419.921613525716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TP2011093</v>
      </c>
      <c r="E91" s="74" t="str">
        <f>E9</f>
        <v xml:space="preserve">  SPP Project ID = 30346</v>
      </c>
      <c r="F91" s="74"/>
      <c r="G91" s="74"/>
      <c r="H91" s="74"/>
      <c r="I91" s="74"/>
      <c r="J91" s="74"/>
    </row>
    <row r="92" spans="1:16">
      <c r="C92" s="128" t="s">
        <v>226</v>
      </c>
      <c r="D92" s="335">
        <v>5059278.0399999991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D11</f>
        <v>2014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12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136737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2014</v>
      </c>
      <c r="D99" s="411">
        <v>0</v>
      </c>
      <c r="E99" s="412">
        <v>0</v>
      </c>
      <c r="F99" s="413">
        <v>4992922.66</v>
      </c>
      <c r="G99" s="429">
        <v>2496461.33</v>
      </c>
      <c r="H99" s="430">
        <v>350992.25806989282</v>
      </c>
      <c r="I99" s="431">
        <v>350992.25806989282</v>
      </c>
      <c r="J99" s="54">
        <v>0</v>
      </c>
      <c r="K99" s="54"/>
      <c r="L99" s="350">
        <f t="shared" ref="L99:L104" si="34">H99</f>
        <v>350992.25806989282</v>
      </c>
      <c r="M99" s="63">
        <f t="shared" ref="M99:M104" si="35">IF(L99&lt;&gt;0,+H99-L99,0)</f>
        <v>0</v>
      </c>
      <c r="N99" s="350">
        <f t="shared" ref="N99:N104" si="36">I99</f>
        <v>350992.25806989282</v>
      </c>
      <c r="O99" s="52">
        <f>IF(N99&lt;&gt;0,+I99-N99,0)</f>
        <v>0</v>
      </c>
      <c r="P99" s="54">
        <f>+O99-M99</f>
        <v>0</v>
      </c>
    </row>
    <row r="100" spans="1:16">
      <c r="B100" s="7" t="str">
        <f>IF(D100=F99,"","IU")</f>
        <v>IU</v>
      </c>
      <c r="C100" s="50">
        <f>IF(D93="","-",+C99+1)</f>
        <v>2015</v>
      </c>
      <c r="D100" s="411">
        <v>5071338</v>
      </c>
      <c r="E100" s="412">
        <v>97526</v>
      </c>
      <c r="F100" s="413">
        <v>4973812</v>
      </c>
      <c r="G100" s="413">
        <v>5022575</v>
      </c>
      <c r="H100" s="430">
        <v>782815.97525692882</v>
      </c>
      <c r="I100" s="431">
        <v>782815.97525692882</v>
      </c>
      <c r="J100" s="54">
        <f>+I100-H100</f>
        <v>0</v>
      </c>
      <c r="K100" s="54"/>
      <c r="L100" s="350">
        <f t="shared" si="34"/>
        <v>782815.97525692882</v>
      </c>
      <c r="M100" s="63">
        <f t="shared" si="35"/>
        <v>0</v>
      </c>
      <c r="N100" s="350">
        <f t="shared" si="36"/>
        <v>782815.97525692882</v>
      </c>
      <c r="O100" s="52">
        <f>IF(N100&lt;&gt;0,+I100-N100,0)</f>
        <v>0</v>
      </c>
      <c r="P100" s="54">
        <f>+O100-M100</f>
        <v>0</v>
      </c>
    </row>
    <row r="101" spans="1:16">
      <c r="B101" s="7" t="str">
        <f t="shared" ref="B101:B154" si="37">IF(D101=F100,"","IU")</f>
        <v>IU</v>
      </c>
      <c r="C101" s="50">
        <f>IF(D93="","-",+C100+1)</f>
        <v>2016</v>
      </c>
      <c r="D101" s="411">
        <v>4961752</v>
      </c>
      <c r="E101" s="412">
        <v>109984</v>
      </c>
      <c r="F101" s="413">
        <v>4851768</v>
      </c>
      <c r="G101" s="413">
        <v>4906760</v>
      </c>
      <c r="H101" s="430">
        <v>742542.63994670648</v>
      </c>
      <c r="I101" s="431">
        <v>742542.63994670648</v>
      </c>
      <c r="J101" s="54">
        <f t="shared" ref="J101:J154" si="38">+I101-H101</f>
        <v>0</v>
      </c>
      <c r="K101" s="54"/>
      <c r="L101" s="350">
        <f t="shared" si="34"/>
        <v>742542.63994670648</v>
      </c>
      <c r="M101" s="63">
        <f t="shared" si="35"/>
        <v>0</v>
      </c>
      <c r="N101" s="350">
        <f t="shared" si="36"/>
        <v>742542.63994670648</v>
      </c>
      <c r="O101" s="52">
        <f>IF(N101&lt;&gt;0,+I101-N101,0)</f>
        <v>0</v>
      </c>
      <c r="P101" s="54">
        <f>+O101-M101</f>
        <v>0</v>
      </c>
    </row>
    <row r="102" spans="1:16">
      <c r="B102" s="7" t="str">
        <f t="shared" si="37"/>
        <v/>
      </c>
      <c r="C102" s="50">
        <f>IF(D93="","-",+C101+1)</f>
        <v>2017</v>
      </c>
      <c r="D102" s="411">
        <v>4851768</v>
      </c>
      <c r="E102" s="412">
        <v>109984</v>
      </c>
      <c r="F102" s="413">
        <v>4741784</v>
      </c>
      <c r="G102" s="413">
        <v>4796776</v>
      </c>
      <c r="H102" s="430">
        <v>718467.13067498105</v>
      </c>
      <c r="I102" s="431">
        <v>718467.13067498105</v>
      </c>
      <c r="J102" s="54">
        <f t="shared" si="38"/>
        <v>0</v>
      </c>
      <c r="K102" s="54"/>
      <c r="L102" s="350">
        <f t="shared" si="34"/>
        <v>718467.13067498105</v>
      </c>
      <c r="M102" s="63">
        <f t="shared" si="35"/>
        <v>0</v>
      </c>
      <c r="N102" s="350">
        <f t="shared" si="36"/>
        <v>718467.13067498105</v>
      </c>
      <c r="O102" s="52">
        <f>IF(N102&lt;&gt;0,+I102-N102,0)</f>
        <v>0</v>
      </c>
      <c r="P102" s="54">
        <f>+O102-M102</f>
        <v>0</v>
      </c>
    </row>
    <row r="103" spans="1:16">
      <c r="B103" s="7" t="str">
        <f t="shared" si="37"/>
        <v/>
      </c>
      <c r="C103" s="50">
        <f>IF(D93="","-",+C102+1)</f>
        <v>2018</v>
      </c>
      <c r="D103" s="411">
        <v>4741784</v>
      </c>
      <c r="E103" s="412">
        <v>117658</v>
      </c>
      <c r="F103" s="413">
        <v>4624126</v>
      </c>
      <c r="G103" s="413">
        <v>4682955</v>
      </c>
      <c r="H103" s="430">
        <v>598764.03634994966</v>
      </c>
      <c r="I103" s="431">
        <v>598764.03634994966</v>
      </c>
      <c r="J103" s="54">
        <f t="shared" si="38"/>
        <v>0</v>
      </c>
      <c r="K103" s="54"/>
      <c r="L103" s="350">
        <f t="shared" si="34"/>
        <v>598764.03634994966</v>
      </c>
      <c r="M103" s="63">
        <f t="shared" si="35"/>
        <v>0</v>
      </c>
      <c r="N103" s="350">
        <f t="shared" si="36"/>
        <v>598764.03634994966</v>
      </c>
      <c r="O103" s="52">
        <f>IF(N103&lt;&gt;0,+I103-N103,0)</f>
        <v>0</v>
      </c>
      <c r="P103" s="54">
        <f>+O103-M103</f>
        <v>0</v>
      </c>
    </row>
    <row r="104" spans="1:16">
      <c r="B104" s="7" t="str">
        <f t="shared" si="37"/>
        <v/>
      </c>
      <c r="C104" s="50">
        <f>IF(D93="","-",+C103+1)</f>
        <v>2019</v>
      </c>
      <c r="D104" s="411">
        <v>4624126</v>
      </c>
      <c r="E104" s="412">
        <v>123397</v>
      </c>
      <c r="F104" s="413">
        <v>4500729</v>
      </c>
      <c r="G104" s="413">
        <v>4562427.5</v>
      </c>
      <c r="H104" s="430">
        <v>593847.268225985</v>
      </c>
      <c r="I104" s="431">
        <v>593847.268225985</v>
      </c>
      <c r="J104" s="54">
        <f t="shared" si="38"/>
        <v>0</v>
      </c>
      <c r="K104" s="54"/>
      <c r="L104" s="350">
        <f t="shared" si="34"/>
        <v>593847.268225985</v>
      </c>
      <c r="M104" s="63">
        <f t="shared" si="35"/>
        <v>0</v>
      </c>
      <c r="N104" s="350">
        <f t="shared" si="36"/>
        <v>593847.268225985</v>
      </c>
      <c r="O104" s="54">
        <f t="shared" ref="O104:O130" si="39">IF(N104&lt;&gt;0,+I104-N104,0)</f>
        <v>0</v>
      </c>
      <c r="P104" s="54">
        <f t="shared" ref="P104:P130" si="40">+O104-M104</f>
        <v>0</v>
      </c>
    </row>
    <row r="105" spans="1:16">
      <c r="B105" s="7" t="str">
        <f t="shared" si="37"/>
        <v/>
      </c>
      <c r="C105" s="50">
        <f>IF(D93="","-",+C104+1)</f>
        <v>2020</v>
      </c>
      <c r="D105" s="411">
        <v>4500729</v>
      </c>
      <c r="E105" s="412">
        <v>117658</v>
      </c>
      <c r="F105" s="413">
        <v>4383071</v>
      </c>
      <c r="G105" s="413">
        <v>4441900</v>
      </c>
      <c r="H105" s="430">
        <v>629796.85800289037</v>
      </c>
      <c r="I105" s="431">
        <v>629796.85800289037</v>
      </c>
      <c r="J105" s="54">
        <f t="shared" si="38"/>
        <v>0</v>
      </c>
      <c r="K105" s="54"/>
      <c r="L105" s="350">
        <f t="shared" ref="L105" si="41">H105</f>
        <v>629796.85800289037</v>
      </c>
      <c r="M105" s="63">
        <f t="shared" ref="M105" si="42">IF(L105&lt;&gt;0,+H105-L105,0)</f>
        <v>0</v>
      </c>
      <c r="N105" s="350">
        <f t="shared" ref="N105" si="43">I105</f>
        <v>629796.85800289037</v>
      </c>
      <c r="O105" s="54">
        <f t="shared" si="39"/>
        <v>0</v>
      </c>
      <c r="P105" s="54">
        <f t="shared" si="40"/>
        <v>0</v>
      </c>
    </row>
    <row r="106" spans="1:16">
      <c r="B106" s="7" t="str">
        <f t="shared" si="37"/>
        <v/>
      </c>
      <c r="C106" s="50">
        <f>IF(D93="","-",+C105+1)</f>
        <v>2021</v>
      </c>
      <c r="D106" s="411">
        <v>4383071</v>
      </c>
      <c r="E106" s="412">
        <v>123397</v>
      </c>
      <c r="F106" s="413">
        <v>4259674</v>
      </c>
      <c r="G106" s="413">
        <v>4321372.5</v>
      </c>
      <c r="H106" s="430">
        <v>615138.04650435934</v>
      </c>
      <c r="I106" s="431">
        <v>615138.04650435934</v>
      </c>
      <c r="J106" s="54">
        <f t="shared" si="38"/>
        <v>0</v>
      </c>
      <c r="K106" s="54"/>
      <c r="L106" s="350">
        <f t="shared" ref="L106" si="44">H106</f>
        <v>615138.04650435934</v>
      </c>
      <c r="M106" s="63">
        <f t="shared" ref="M106" si="45">IF(L106&lt;&gt;0,+H106-L106,0)</f>
        <v>0</v>
      </c>
      <c r="N106" s="350">
        <f t="shared" ref="N106" si="46">I106</f>
        <v>615138.04650435934</v>
      </c>
      <c r="O106" s="54">
        <f t="shared" si="39"/>
        <v>0</v>
      </c>
      <c r="P106" s="54">
        <f t="shared" si="40"/>
        <v>0</v>
      </c>
    </row>
    <row r="107" spans="1:16">
      <c r="B107" s="7" t="str">
        <f t="shared" si="37"/>
        <v/>
      </c>
      <c r="C107" s="50">
        <f>IF(D93="","-",+C106+1)</f>
        <v>2022</v>
      </c>
      <c r="D107" s="411">
        <v>4259674</v>
      </c>
      <c r="E107" s="412">
        <v>129725</v>
      </c>
      <c r="F107" s="413">
        <v>4129949</v>
      </c>
      <c r="G107" s="413">
        <v>4194811.5</v>
      </c>
      <c r="H107" s="430">
        <v>591920.45938328374</v>
      </c>
      <c r="I107" s="431">
        <v>591920.45938328374</v>
      </c>
      <c r="J107" s="54">
        <f t="shared" si="38"/>
        <v>0</v>
      </c>
      <c r="K107" s="54"/>
      <c r="L107" s="350">
        <f t="shared" ref="L107" si="47">H107</f>
        <v>591920.45938328374</v>
      </c>
      <c r="M107" s="63">
        <f t="shared" ref="M107" si="48">IF(L107&lt;&gt;0,+H107-L107,0)</f>
        <v>0</v>
      </c>
      <c r="N107" s="350">
        <f t="shared" ref="N107" si="49">I107</f>
        <v>591920.45938328374</v>
      </c>
      <c r="O107" s="54">
        <f t="shared" ref="O107" si="50">IF(N107&lt;&gt;0,+I107-N107,0)</f>
        <v>0</v>
      </c>
      <c r="P107" s="54">
        <f t="shared" ref="P107" si="51">+O107-M107</f>
        <v>0</v>
      </c>
    </row>
    <row r="108" spans="1:16">
      <c r="B108" s="7" t="str">
        <f t="shared" si="37"/>
        <v>IU</v>
      </c>
      <c r="C108" s="50">
        <f>IF(D93="","-",+C107+1)</f>
        <v>2023</v>
      </c>
      <c r="D108" s="411">
        <v>4129949.0399999991</v>
      </c>
      <c r="E108" s="412">
        <v>133139</v>
      </c>
      <c r="F108" s="413">
        <v>3996810.0399999991</v>
      </c>
      <c r="G108" s="413">
        <v>4063379.5399999991</v>
      </c>
      <c r="H108" s="430">
        <v>597286.87030004105</v>
      </c>
      <c r="I108" s="431">
        <v>597286.87030004105</v>
      </c>
      <c r="J108" s="54">
        <f t="shared" si="38"/>
        <v>0</v>
      </c>
      <c r="K108" s="54"/>
      <c r="L108" s="350">
        <f t="shared" ref="L108" si="52">H108</f>
        <v>597286.87030004105</v>
      </c>
      <c r="M108" s="63">
        <f t="shared" ref="M108" si="53">IF(L108&lt;&gt;0,+H108-L108,0)</f>
        <v>0</v>
      </c>
      <c r="N108" s="350">
        <f t="shared" ref="N108" si="54">I108</f>
        <v>597286.87030004105</v>
      </c>
      <c r="O108" s="54">
        <f t="shared" ref="O108" si="55">IF(N108&lt;&gt;0,+I108-N108,0)</f>
        <v>0</v>
      </c>
      <c r="P108" s="54">
        <f t="shared" ref="P108" si="56">+O108-M108</f>
        <v>0</v>
      </c>
    </row>
    <row r="109" spans="1:16">
      <c r="B109" s="7" t="str">
        <f t="shared" si="37"/>
        <v/>
      </c>
      <c r="C109" s="50">
        <f>IF(D93="","-",+C108+1)</f>
        <v>2024</v>
      </c>
      <c r="D109" s="411">
        <v>3996810.0399999991</v>
      </c>
      <c r="E109" s="412">
        <v>136737</v>
      </c>
      <c r="F109" s="413">
        <v>3860073.0399999991</v>
      </c>
      <c r="G109" s="413">
        <v>3928441.5399999991</v>
      </c>
      <c r="H109" s="430">
        <v>664400.19901005097</v>
      </c>
      <c r="I109" s="431">
        <v>664400.19901005097</v>
      </c>
      <c r="J109" s="54">
        <f t="shared" si="38"/>
        <v>0</v>
      </c>
      <c r="K109" s="54"/>
      <c r="L109" s="350">
        <f t="shared" ref="L109" si="57">H109</f>
        <v>664400.19901005097</v>
      </c>
      <c r="M109" s="63">
        <f t="shared" ref="M109" si="58">IF(L109&lt;&gt;0,+H109-L109,0)</f>
        <v>0</v>
      </c>
      <c r="N109" s="350">
        <f t="shared" ref="N109" si="59">I109</f>
        <v>664400.19901005097</v>
      </c>
      <c r="O109" s="54">
        <f t="shared" ref="O109" si="60">IF(N109&lt;&gt;0,+I109-N109,0)</f>
        <v>0</v>
      </c>
      <c r="P109" s="54">
        <f t="shared" ref="P109" si="61">+O109-M109</f>
        <v>0</v>
      </c>
    </row>
    <row r="110" spans="1:16">
      <c r="B110" s="7" t="str">
        <f t="shared" si="37"/>
        <v/>
      </c>
      <c r="C110" s="50">
        <f>IF(D93="","-",+C109+1)</f>
        <v>2025</v>
      </c>
      <c r="D110" s="12">
        <f>IF(F109+SUM(E$99:E109)=D$92,F109,D$92-SUM(E$99:E109))</f>
        <v>3860073.0399999991</v>
      </c>
      <c r="E110" s="354">
        <f t="shared" ref="E110:E154" si="62">IF(+J$96&lt;F109,J$96,D110)</f>
        <v>136737</v>
      </c>
      <c r="F110" s="55">
        <f t="shared" ref="F110:F154" si="63">+D110-E110</f>
        <v>3723336.0399999991</v>
      </c>
      <c r="G110" s="55">
        <f t="shared" ref="G110:G154" si="64">+(F110+D110)/2</f>
        <v>3791704.5399999991</v>
      </c>
      <c r="H110" s="355">
        <f t="shared" ref="H110:H153" si="65">(D110+F110)/2*J$94+E110</f>
        <v>590304.81740299938</v>
      </c>
      <c r="I110" s="381">
        <f t="shared" ref="I110:I153" si="66">+J$95*G110+E110</f>
        <v>590304.81740299938</v>
      </c>
      <c r="J110" s="54">
        <f t="shared" si="38"/>
        <v>0</v>
      </c>
      <c r="K110" s="54"/>
      <c r="L110" s="115"/>
      <c r="M110" s="54">
        <f t="shared" ref="M110:M130" si="67">IF(L110&lt;&gt;0,+H110-L110,0)</f>
        <v>0</v>
      </c>
      <c r="N110" s="115"/>
      <c r="O110" s="54">
        <f t="shared" si="39"/>
        <v>0</v>
      </c>
      <c r="P110" s="54">
        <f t="shared" si="40"/>
        <v>0</v>
      </c>
    </row>
    <row r="111" spans="1:16">
      <c r="B111" s="7" t="str">
        <f t="shared" si="37"/>
        <v/>
      </c>
      <c r="C111" s="50">
        <f>IF(D93="","-",+C110+1)</f>
        <v>2026</v>
      </c>
      <c r="D111" s="12">
        <f>IF(F110+SUM(E$99:E110)=D$92,F110,D$92-SUM(E$99:E110))</f>
        <v>3723336.0399999991</v>
      </c>
      <c r="E111" s="354">
        <f t="shared" si="62"/>
        <v>136737</v>
      </c>
      <c r="F111" s="55">
        <f t="shared" si="63"/>
        <v>3586599.0399999991</v>
      </c>
      <c r="G111" s="55">
        <f t="shared" si="64"/>
        <v>3654967.5399999991</v>
      </c>
      <c r="H111" s="355">
        <f t="shared" si="65"/>
        <v>573948.18887512526</v>
      </c>
      <c r="I111" s="381">
        <f t="shared" si="66"/>
        <v>573948.18887512526</v>
      </c>
      <c r="J111" s="54">
        <f t="shared" si="38"/>
        <v>0</v>
      </c>
      <c r="K111" s="54"/>
      <c r="L111" s="115"/>
      <c r="M111" s="54">
        <f t="shared" si="67"/>
        <v>0</v>
      </c>
      <c r="N111" s="115"/>
      <c r="O111" s="54">
        <f t="shared" si="39"/>
        <v>0</v>
      </c>
      <c r="P111" s="54">
        <f t="shared" si="40"/>
        <v>0</v>
      </c>
    </row>
    <row r="112" spans="1:16">
      <c r="B112" s="7" t="str">
        <f t="shared" si="37"/>
        <v/>
      </c>
      <c r="C112" s="50">
        <f>IF(D93="","-",+C111+1)</f>
        <v>2027</v>
      </c>
      <c r="D112" s="12">
        <f>IF(F111+SUM(E$99:E111)=D$92,F111,D$92-SUM(E$99:E111))</f>
        <v>3586599.0399999991</v>
      </c>
      <c r="E112" s="354">
        <f t="shared" si="62"/>
        <v>136737</v>
      </c>
      <c r="F112" s="55">
        <f t="shared" si="63"/>
        <v>3449862.0399999991</v>
      </c>
      <c r="G112" s="55">
        <f t="shared" si="64"/>
        <v>3518230.5399999991</v>
      </c>
      <c r="H112" s="355">
        <f t="shared" si="65"/>
        <v>557591.56034725113</v>
      </c>
      <c r="I112" s="381">
        <f t="shared" si="66"/>
        <v>557591.56034725113</v>
      </c>
      <c r="J112" s="54">
        <f t="shared" si="38"/>
        <v>0</v>
      </c>
      <c r="K112" s="54"/>
      <c r="L112" s="115"/>
      <c r="M112" s="54">
        <f t="shared" si="67"/>
        <v>0</v>
      </c>
      <c r="N112" s="115"/>
      <c r="O112" s="54">
        <f t="shared" si="39"/>
        <v>0</v>
      </c>
      <c r="P112" s="54">
        <f t="shared" si="40"/>
        <v>0</v>
      </c>
    </row>
    <row r="113" spans="2:16">
      <c r="B113" s="7" t="str">
        <f t="shared" si="37"/>
        <v/>
      </c>
      <c r="C113" s="50">
        <f>IF(D93="","-",+C112+1)</f>
        <v>2028</v>
      </c>
      <c r="D113" s="12">
        <f>IF(F112+SUM(E$99:E112)=D$92,F112,D$92-SUM(E$99:E112))</f>
        <v>3449862.0399999991</v>
      </c>
      <c r="E113" s="354">
        <f t="shared" si="62"/>
        <v>136737</v>
      </c>
      <c r="F113" s="55">
        <f t="shared" si="63"/>
        <v>3313125.0399999991</v>
      </c>
      <c r="G113" s="55">
        <f t="shared" si="64"/>
        <v>3381493.5399999991</v>
      </c>
      <c r="H113" s="355">
        <f t="shared" si="65"/>
        <v>541234.931819377</v>
      </c>
      <c r="I113" s="381">
        <f t="shared" si="66"/>
        <v>541234.931819377</v>
      </c>
      <c r="J113" s="54">
        <f t="shared" si="38"/>
        <v>0</v>
      </c>
      <c r="K113" s="54"/>
      <c r="L113" s="115"/>
      <c r="M113" s="54">
        <f t="shared" si="67"/>
        <v>0</v>
      </c>
      <c r="N113" s="115"/>
      <c r="O113" s="54">
        <f t="shared" si="39"/>
        <v>0</v>
      </c>
      <c r="P113" s="54">
        <f t="shared" si="40"/>
        <v>0</v>
      </c>
    </row>
    <row r="114" spans="2:16">
      <c r="B114" s="7" t="str">
        <f t="shared" si="37"/>
        <v/>
      </c>
      <c r="C114" s="50">
        <f>IF(D93="","-",+C113+1)</f>
        <v>2029</v>
      </c>
      <c r="D114" s="12">
        <f>IF(F113+SUM(E$99:E113)=D$92,F113,D$92-SUM(E$99:E113))</f>
        <v>3313125.0399999991</v>
      </c>
      <c r="E114" s="354">
        <f t="shared" si="62"/>
        <v>136737</v>
      </c>
      <c r="F114" s="55">
        <f t="shared" si="63"/>
        <v>3176388.0399999991</v>
      </c>
      <c r="G114" s="55">
        <f t="shared" si="64"/>
        <v>3244756.5399999991</v>
      </c>
      <c r="H114" s="355">
        <f t="shared" si="65"/>
        <v>524878.30329150287</v>
      </c>
      <c r="I114" s="381">
        <f t="shared" si="66"/>
        <v>524878.30329150287</v>
      </c>
      <c r="J114" s="54">
        <f t="shared" si="38"/>
        <v>0</v>
      </c>
      <c r="K114" s="54"/>
      <c r="L114" s="115"/>
      <c r="M114" s="54">
        <f t="shared" si="67"/>
        <v>0</v>
      </c>
      <c r="N114" s="115"/>
      <c r="O114" s="54">
        <f t="shared" si="39"/>
        <v>0</v>
      </c>
      <c r="P114" s="54">
        <f t="shared" si="40"/>
        <v>0</v>
      </c>
    </row>
    <row r="115" spans="2:16">
      <c r="B115" s="7" t="str">
        <f t="shared" si="37"/>
        <v/>
      </c>
      <c r="C115" s="50">
        <f>IF(D93="","-",+C114+1)</f>
        <v>2030</v>
      </c>
      <c r="D115" s="12">
        <f>IF(F114+SUM(E$99:E114)=D$92,F114,D$92-SUM(E$99:E114))</f>
        <v>3176388.0399999991</v>
      </c>
      <c r="E115" s="354">
        <f t="shared" si="62"/>
        <v>136737</v>
      </c>
      <c r="F115" s="55">
        <f t="shared" si="63"/>
        <v>3039651.0399999991</v>
      </c>
      <c r="G115" s="55">
        <f t="shared" si="64"/>
        <v>3108019.5399999991</v>
      </c>
      <c r="H115" s="355">
        <f t="shared" si="65"/>
        <v>508521.67476362863</v>
      </c>
      <c r="I115" s="381">
        <f t="shared" si="66"/>
        <v>508521.67476362863</v>
      </c>
      <c r="J115" s="54">
        <f t="shared" si="38"/>
        <v>0</v>
      </c>
      <c r="K115" s="54"/>
      <c r="L115" s="115"/>
      <c r="M115" s="54">
        <f t="shared" si="67"/>
        <v>0</v>
      </c>
      <c r="N115" s="115"/>
      <c r="O115" s="54">
        <f t="shared" si="39"/>
        <v>0</v>
      </c>
      <c r="P115" s="54">
        <f t="shared" si="40"/>
        <v>0</v>
      </c>
    </row>
    <row r="116" spans="2:16">
      <c r="B116" s="7" t="str">
        <f t="shared" si="37"/>
        <v/>
      </c>
      <c r="C116" s="50">
        <f>IF(D93="","-",+C115+1)</f>
        <v>2031</v>
      </c>
      <c r="D116" s="12">
        <f>IF(F115+SUM(E$99:E115)=D$92,F115,D$92-SUM(E$99:E115))</f>
        <v>3039651.0399999991</v>
      </c>
      <c r="E116" s="354">
        <f t="shared" si="62"/>
        <v>136737</v>
      </c>
      <c r="F116" s="55">
        <f t="shared" si="63"/>
        <v>2902914.0399999991</v>
      </c>
      <c r="G116" s="55">
        <f t="shared" si="64"/>
        <v>2971282.5399999991</v>
      </c>
      <c r="H116" s="355">
        <f t="shared" si="65"/>
        <v>492165.0462357545</v>
      </c>
      <c r="I116" s="381">
        <f t="shared" si="66"/>
        <v>492165.0462357545</v>
      </c>
      <c r="J116" s="54">
        <f t="shared" si="38"/>
        <v>0</v>
      </c>
      <c r="K116" s="54"/>
      <c r="L116" s="115"/>
      <c r="M116" s="54">
        <f t="shared" si="67"/>
        <v>0</v>
      </c>
      <c r="N116" s="115"/>
      <c r="O116" s="54">
        <f t="shared" si="39"/>
        <v>0</v>
      </c>
      <c r="P116" s="54">
        <f t="shared" si="40"/>
        <v>0</v>
      </c>
    </row>
    <row r="117" spans="2:16">
      <c r="B117" s="7" t="str">
        <f t="shared" si="37"/>
        <v/>
      </c>
      <c r="C117" s="50">
        <f>IF(D93="","-",+C116+1)</f>
        <v>2032</v>
      </c>
      <c r="D117" s="12">
        <f>IF(F116+SUM(E$99:E116)=D$92,F116,D$92-SUM(E$99:E116))</f>
        <v>2902914.0399999991</v>
      </c>
      <c r="E117" s="354">
        <f t="shared" si="62"/>
        <v>136737</v>
      </c>
      <c r="F117" s="55">
        <f t="shared" si="63"/>
        <v>2766177.0399999991</v>
      </c>
      <c r="G117" s="55">
        <f t="shared" si="64"/>
        <v>2834545.5399999991</v>
      </c>
      <c r="H117" s="355">
        <f t="shared" si="65"/>
        <v>475808.41770788032</v>
      </c>
      <c r="I117" s="381">
        <f t="shared" si="66"/>
        <v>475808.41770788032</v>
      </c>
      <c r="J117" s="54">
        <f t="shared" si="38"/>
        <v>0</v>
      </c>
      <c r="K117" s="54"/>
      <c r="L117" s="115"/>
      <c r="M117" s="54">
        <f t="shared" si="67"/>
        <v>0</v>
      </c>
      <c r="N117" s="115"/>
      <c r="O117" s="54">
        <f t="shared" si="39"/>
        <v>0</v>
      </c>
      <c r="P117" s="54">
        <f t="shared" si="40"/>
        <v>0</v>
      </c>
    </row>
    <row r="118" spans="2:16">
      <c r="B118" s="7" t="str">
        <f t="shared" si="37"/>
        <v/>
      </c>
      <c r="C118" s="50">
        <f>IF(D93="","-",+C117+1)</f>
        <v>2033</v>
      </c>
      <c r="D118" s="12">
        <f>IF(F117+SUM(E$99:E117)=D$92,F117,D$92-SUM(E$99:E117))</f>
        <v>2766177.0399999991</v>
      </c>
      <c r="E118" s="354">
        <f t="shared" si="62"/>
        <v>136737</v>
      </c>
      <c r="F118" s="55">
        <f t="shared" si="63"/>
        <v>2629440.0399999991</v>
      </c>
      <c r="G118" s="55">
        <f t="shared" si="64"/>
        <v>2697808.5399999991</v>
      </c>
      <c r="H118" s="355">
        <f t="shared" si="65"/>
        <v>459451.78918000619</v>
      </c>
      <c r="I118" s="381">
        <f t="shared" si="66"/>
        <v>459451.78918000619</v>
      </c>
      <c r="J118" s="54">
        <f t="shared" si="38"/>
        <v>0</v>
      </c>
      <c r="K118" s="54"/>
      <c r="L118" s="115"/>
      <c r="M118" s="54">
        <f t="shared" si="67"/>
        <v>0</v>
      </c>
      <c r="N118" s="115"/>
      <c r="O118" s="54">
        <f t="shared" si="39"/>
        <v>0</v>
      </c>
      <c r="P118" s="54">
        <f t="shared" si="40"/>
        <v>0</v>
      </c>
    </row>
    <row r="119" spans="2:16">
      <c r="B119" s="7" t="str">
        <f t="shared" si="37"/>
        <v/>
      </c>
      <c r="C119" s="50">
        <f>IF(D93="","-",+C118+1)</f>
        <v>2034</v>
      </c>
      <c r="D119" s="12">
        <f>IF(F118+SUM(E$99:E118)=D$92,F118,D$92-SUM(E$99:E118))</f>
        <v>2629440.0399999991</v>
      </c>
      <c r="E119" s="354">
        <f t="shared" si="62"/>
        <v>136737</v>
      </c>
      <c r="F119" s="55">
        <f t="shared" si="63"/>
        <v>2492703.0399999991</v>
      </c>
      <c r="G119" s="55">
        <f t="shared" si="64"/>
        <v>2561071.5399999991</v>
      </c>
      <c r="H119" s="355">
        <f t="shared" si="65"/>
        <v>443095.16065213201</v>
      </c>
      <c r="I119" s="381">
        <f t="shared" si="66"/>
        <v>443095.16065213201</v>
      </c>
      <c r="J119" s="54">
        <f t="shared" si="38"/>
        <v>0</v>
      </c>
      <c r="K119" s="54"/>
      <c r="L119" s="115"/>
      <c r="M119" s="54">
        <f t="shared" si="67"/>
        <v>0</v>
      </c>
      <c r="N119" s="115"/>
      <c r="O119" s="54">
        <f t="shared" si="39"/>
        <v>0</v>
      </c>
      <c r="P119" s="54">
        <f t="shared" si="40"/>
        <v>0</v>
      </c>
    </row>
    <row r="120" spans="2:16">
      <c r="B120" s="7" t="str">
        <f t="shared" si="37"/>
        <v/>
      </c>
      <c r="C120" s="50">
        <f>IF(D93="","-",+C119+1)</f>
        <v>2035</v>
      </c>
      <c r="D120" s="12">
        <f>IF(F119+SUM(E$99:E119)=D$92,F119,D$92-SUM(E$99:E119))</f>
        <v>2492703.0399999991</v>
      </c>
      <c r="E120" s="354">
        <f t="shared" si="62"/>
        <v>136737</v>
      </c>
      <c r="F120" s="55">
        <f t="shared" si="63"/>
        <v>2355966.0399999991</v>
      </c>
      <c r="G120" s="55">
        <f t="shared" si="64"/>
        <v>2424334.5399999991</v>
      </c>
      <c r="H120" s="355">
        <f t="shared" si="65"/>
        <v>426738.53212425788</v>
      </c>
      <c r="I120" s="381">
        <f t="shared" si="66"/>
        <v>426738.53212425788</v>
      </c>
      <c r="J120" s="54">
        <f t="shared" si="38"/>
        <v>0</v>
      </c>
      <c r="K120" s="54"/>
      <c r="L120" s="115"/>
      <c r="M120" s="54">
        <f t="shared" si="67"/>
        <v>0</v>
      </c>
      <c r="N120" s="115"/>
      <c r="O120" s="54">
        <f t="shared" si="39"/>
        <v>0</v>
      </c>
      <c r="P120" s="54">
        <f t="shared" si="40"/>
        <v>0</v>
      </c>
    </row>
    <row r="121" spans="2:16">
      <c r="B121" s="7" t="str">
        <f t="shared" si="37"/>
        <v/>
      </c>
      <c r="C121" s="50">
        <f>IF(D93="","-",+C120+1)</f>
        <v>2036</v>
      </c>
      <c r="D121" s="12">
        <f>IF(F120+SUM(E$99:E120)=D$92,F120,D$92-SUM(E$99:E120))</f>
        <v>2355966.0399999991</v>
      </c>
      <c r="E121" s="354">
        <f t="shared" si="62"/>
        <v>136737</v>
      </c>
      <c r="F121" s="55">
        <f t="shared" si="63"/>
        <v>2219229.0399999991</v>
      </c>
      <c r="G121" s="55">
        <f t="shared" si="64"/>
        <v>2287597.5399999991</v>
      </c>
      <c r="H121" s="355">
        <f t="shared" si="65"/>
        <v>410381.90359638369</v>
      </c>
      <c r="I121" s="381">
        <f t="shared" si="66"/>
        <v>410381.90359638369</v>
      </c>
      <c r="J121" s="54">
        <f t="shared" si="38"/>
        <v>0</v>
      </c>
      <c r="K121" s="54"/>
      <c r="L121" s="115"/>
      <c r="M121" s="54">
        <f t="shared" si="67"/>
        <v>0</v>
      </c>
      <c r="N121" s="115"/>
      <c r="O121" s="54">
        <f t="shared" si="39"/>
        <v>0</v>
      </c>
      <c r="P121" s="54">
        <f t="shared" si="40"/>
        <v>0</v>
      </c>
    </row>
    <row r="122" spans="2:16">
      <c r="B122" s="7" t="str">
        <f t="shared" si="37"/>
        <v/>
      </c>
      <c r="C122" s="50">
        <f>IF(D93="","-",+C121+1)</f>
        <v>2037</v>
      </c>
      <c r="D122" s="12">
        <f>IF(F121+SUM(E$99:E121)=D$92,F121,D$92-SUM(E$99:E121))</f>
        <v>2219229.0399999991</v>
      </c>
      <c r="E122" s="354">
        <f t="shared" si="62"/>
        <v>136737</v>
      </c>
      <c r="F122" s="55">
        <f t="shared" si="63"/>
        <v>2082492.0399999991</v>
      </c>
      <c r="G122" s="55">
        <f t="shared" si="64"/>
        <v>2150860.5399999991</v>
      </c>
      <c r="H122" s="355">
        <f t="shared" si="65"/>
        <v>394025.27506850957</v>
      </c>
      <c r="I122" s="381">
        <f t="shared" si="66"/>
        <v>394025.27506850957</v>
      </c>
      <c r="J122" s="54">
        <f t="shared" si="38"/>
        <v>0</v>
      </c>
      <c r="K122" s="54"/>
      <c r="L122" s="115"/>
      <c r="M122" s="54">
        <f t="shared" si="67"/>
        <v>0</v>
      </c>
      <c r="N122" s="115"/>
      <c r="O122" s="54">
        <f t="shared" si="39"/>
        <v>0</v>
      </c>
      <c r="P122" s="54">
        <f t="shared" si="40"/>
        <v>0</v>
      </c>
    </row>
    <row r="123" spans="2:16">
      <c r="B123" s="7" t="str">
        <f t="shared" si="37"/>
        <v/>
      </c>
      <c r="C123" s="50">
        <f>IF(D93="","-",+C122+1)</f>
        <v>2038</v>
      </c>
      <c r="D123" s="12">
        <f>IF(F122+SUM(E$99:E122)=D$92,F122,D$92-SUM(E$99:E122))</f>
        <v>2082492.0399999991</v>
      </c>
      <c r="E123" s="354">
        <f t="shared" si="62"/>
        <v>136737</v>
      </c>
      <c r="F123" s="55">
        <f t="shared" si="63"/>
        <v>1945755.0399999991</v>
      </c>
      <c r="G123" s="55">
        <f t="shared" si="64"/>
        <v>2014123.5399999991</v>
      </c>
      <c r="H123" s="355">
        <f t="shared" si="65"/>
        <v>377668.64654063538</v>
      </c>
      <c r="I123" s="381">
        <f t="shared" si="66"/>
        <v>377668.64654063538</v>
      </c>
      <c r="J123" s="54">
        <f t="shared" si="38"/>
        <v>0</v>
      </c>
      <c r="K123" s="54"/>
      <c r="L123" s="115"/>
      <c r="M123" s="54">
        <f t="shared" si="67"/>
        <v>0</v>
      </c>
      <c r="N123" s="115"/>
      <c r="O123" s="54">
        <f t="shared" si="39"/>
        <v>0</v>
      </c>
      <c r="P123" s="54">
        <f t="shared" si="40"/>
        <v>0</v>
      </c>
    </row>
    <row r="124" spans="2:16">
      <c r="B124" s="7" t="str">
        <f t="shared" si="37"/>
        <v/>
      </c>
      <c r="C124" s="50">
        <f>IF(D93="","-",+C123+1)</f>
        <v>2039</v>
      </c>
      <c r="D124" s="12">
        <f>IF(F123+SUM(E$99:E123)=D$92,F123,D$92-SUM(E$99:E123))</f>
        <v>1945755.0399999991</v>
      </c>
      <c r="E124" s="354">
        <f t="shared" si="62"/>
        <v>136737</v>
      </c>
      <c r="F124" s="55">
        <f t="shared" si="63"/>
        <v>1809018.0399999991</v>
      </c>
      <c r="G124" s="55">
        <f t="shared" si="64"/>
        <v>1877386.5399999991</v>
      </c>
      <c r="H124" s="355">
        <f t="shared" si="65"/>
        <v>361312.01801276125</v>
      </c>
      <c r="I124" s="381">
        <f t="shared" si="66"/>
        <v>361312.01801276125</v>
      </c>
      <c r="J124" s="54">
        <f t="shared" si="38"/>
        <v>0</v>
      </c>
      <c r="K124" s="54"/>
      <c r="L124" s="115"/>
      <c r="M124" s="54">
        <f t="shared" si="67"/>
        <v>0</v>
      </c>
      <c r="N124" s="115"/>
      <c r="O124" s="54">
        <f t="shared" si="39"/>
        <v>0</v>
      </c>
      <c r="P124" s="54">
        <f t="shared" si="40"/>
        <v>0</v>
      </c>
    </row>
    <row r="125" spans="2:16">
      <c r="B125" s="7" t="str">
        <f t="shared" si="37"/>
        <v/>
      </c>
      <c r="C125" s="50">
        <f>IF(D93="","-",+C124+1)</f>
        <v>2040</v>
      </c>
      <c r="D125" s="12">
        <f>IF(F124+SUM(E$99:E124)=D$92,F124,D$92-SUM(E$99:E124))</f>
        <v>1809018.0399999991</v>
      </c>
      <c r="E125" s="354">
        <f t="shared" si="62"/>
        <v>136737</v>
      </c>
      <c r="F125" s="55">
        <f t="shared" si="63"/>
        <v>1672281.0399999991</v>
      </c>
      <c r="G125" s="55">
        <f t="shared" si="64"/>
        <v>1740649.5399999991</v>
      </c>
      <c r="H125" s="355">
        <f t="shared" si="65"/>
        <v>344955.38948488713</v>
      </c>
      <c r="I125" s="381">
        <f t="shared" si="66"/>
        <v>344955.38948488713</v>
      </c>
      <c r="J125" s="54">
        <f t="shared" si="38"/>
        <v>0</v>
      </c>
      <c r="K125" s="54"/>
      <c r="L125" s="115"/>
      <c r="M125" s="54">
        <f t="shared" si="67"/>
        <v>0</v>
      </c>
      <c r="N125" s="115"/>
      <c r="O125" s="54">
        <f t="shared" si="39"/>
        <v>0</v>
      </c>
      <c r="P125" s="54">
        <f t="shared" si="40"/>
        <v>0</v>
      </c>
    </row>
    <row r="126" spans="2:16">
      <c r="B126" s="7" t="str">
        <f t="shared" si="37"/>
        <v/>
      </c>
      <c r="C126" s="50">
        <f>IF(D93="","-",+C125+1)</f>
        <v>2041</v>
      </c>
      <c r="D126" s="12">
        <f>IF(F125+SUM(E$99:E125)=D$92,F125,D$92-SUM(E$99:E125))</f>
        <v>1672281.0399999991</v>
      </c>
      <c r="E126" s="354">
        <f t="shared" si="62"/>
        <v>136737</v>
      </c>
      <c r="F126" s="55">
        <f t="shared" si="63"/>
        <v>1535544.0399999991</v>
      </c>
      <c r="G126" s="55">
        <f t="shared" si="64"/>
        <v>1603912.5399999991</v>
      </c>
      <c r="H126" s="355">
        <f t="shared" si="65"/>
        <v>328598.76095701294</v>
      </c>
      <c r="I126" s="381">
        <f t="shared" si="66"/>
        <v>328598.76095701294</v>
      </c>
      <c r="J126" s="54">
        <f t="shared" si="38"/>
        <v>0</v>
      </c>
      <c r="K126" s="54"/>
      <c r="L126" s="115"/>
      <c r="M126" s="54">
        <f t="shared" si="67"/>
        <v>0</v>
      </c>
      <c r="N126" s="115"/>
      <c r="O126" s="54">
        <f t="shared" si="39"/>
        <v>0</v>
      </c>
      <c r="P126" s="54">
        <f t="shared" si="40"/>
        <v>0</v>
      </c>
    </row>
    <row r="127" spans="2:16">
      <c r="B127" s="7" t="str">
        <f t="shared" si="37"/>
        <v/>
      </c>
      <c r="C127" s="50">
        <f>IF(D93="","-",+C126+1)</f>
        <v>2042</v>
      </c>
      <c r="D127" s="12">
        <f>IF(F126+SUM(E$99:E126)=D$92,F126,D$92-SUM(E$99:E126))</f>
        <v>1535544.0399999991</v>
      </c>
      <c r="E127" s="354">
        <f t="shared" si="62"/>
        <v>136737</v>
      </c>
      <c r="F127" s="55">
        <f t="shared" si="63"/>
        <v>1398807.0399999991</v>
      </c>
      <c r="G127" s="55">
        <f t="shared" si="64"/>
        <v>1467175.5399999991</v>
      </c>
      <c r="H127" s="355">
        <f t="shared" si="65"/>
        <v>312242.13242913876</v>
      </c>
      <c r="I127" s="381">
        <f t="shared" si="66"/>
        <v>312242.13242913876</v>
      </c>
      <c r="J127" s="54">
        <f t="shared" si="38"/>
        <v>0</v>
      </c>
      <c r="K127" s="54"/>
      <c r="L127" s="115"/>
      <c r="M127" s="54">
        <f t="shared" si="67"/>
        <v>0</v>
      </c>
      <c r="N127" s="115"/>
      <c r="O127" s="54">
        <f t="shared" si="39"/>
        <v>0</v>
      </c>
      <c r="P127" s="54">
        <f t="shared" si="40"/>
        <v>0</v>
      </c>
    </row>
    <row r="128" spans="2:16">
      <c r="B128" s="7" t="str">
        <f t="shared" si="37"/>
        <v/>
      </c>
      <c r="C128" s="50">
        <f>IF(D93="","-",+C127+1)</f>
        <v>2043</v>
      </c>
      <c r="D128" s="12">
        <f>IF(F127+SUM(E$99:E127)=D$92,F127,D$92-SUM(E$99:E127))</f>
        <v>1398807.0399999991</v>
      </c>
      <c r="E128" s="354">
        <f t="shared" si="62"/>
        <v>136737</v>
      </c>
      <c r="F128" s="55">
        <f t="shared" si="63"/>
        <v>1262070.0399999991</v>
      </c>
      <c r="G128" s="55">
        <f t="shared" si="64"/>
        <v>1330438.5399999991</v>
      </c>
      <c r="H128" s="355">
        <f t="shared" si="65"/>
        <v>295885.50390126463</v>
      </c>
      <c r="I128" s="381">
        <f t="shared" si="66"/>
        <v>295885.50390126463</v>
      </c>
      <c r="J128" s="54">
        <f t="shared" si="38"/>
        <v>0</v>
      </c>
      <c r="K128" s="54"/>
      <c r="L128" s="115"/>
      <c r="M128" s="54">
        <f t="shared" si="67"/>
        <v>0</v>
      </c>
      <c r="N128" s="115"/>
      <c r="O128" s="54">
        <f t="shared" si="39"/>
        <v>0</v>
      </c>
      <c r="P128" s="54">
        <f t="shared" si="40"/>
        <v>0</v>
      </c>
    </row>
    <row r="129" spans="2:16">
      <c r="B129" s="7" t="str">
        <f t="shared" si="37"/>
        <v/>
      </c>
      <c r="C129" s="50">
        <f>IF(D93="","-",+C128+1)</f>
        <v>2044</v>
      </c>
      <c r="D129" s="12">
        <f>IF(F128+SUM(E$99:E128)=D$92,F128,D$92-SUM(E$99:E128))</f>
        <v>1262070.0399999991</v>
      </c>
      <c r="E129" s="354">
        <f t="shared" si="62"/>
        <v>136737</v>
      </c>
      <c r="F129" s="55">
        <f t="shared" si="63"/>
        <v>1125333.0399999991</v>
      </c>
      <c r="G129" s="55">
        <f t="shared" si="64"/>
        <v>1193701.5399999991</v>
      </c>
      <c r="H129" s="355">
        <f t="shared" si="65"/>
        <v>279528.8753733905</v>
      </c>
      <c r="I129" s="381">
        <f t="shared" si="66"/>
        <v>279528.8753733905</v>
      </c>
      <c r="J129" s="54">
        <f t="shared" si="38"/>
        <v>0</v>
      </c>
      <c r="K129" s="54"/>
      <c r="L129" s="115"/>
      <c r="M129" s="54">
        <f t="shared" si="67"/>
        <v>0</v>
      </c>
      <c r="N129" s="115"/>
      <c r="O129" s="54">
        <f t="shared" si="39"/>
        <v>0</v>
      </c>
      <c r="P129" s="54">
        <f t="shared" si="40"/>
        <v>0</v>
      </c>
    </row>
    <row r="130" spans="2:16">
      <c r="B130" s="7" t="str">
        <f t="shared" si="37"/>
        <v/>
      </c>
      <c r="C130" s="50">
        <f>IF(D93="","-",+C129+1)</f>
        <v>2045</v>
      </c>
      <c r="D130" s="12">
        <f>IF(F129+SUM(E$99:E129)=D$92,F129,D$92-SUM(E$99:E129))</f>
        <v>1125333.0399999991</v>
      </c>
      <c r="E130" s="354">
        <f t="shared" si="62"/>
        <v>136737</v>
      </c>
      <c r="F130" s="55">
        <f t="shared" si="63"/>
        <v>988596.03999999911</v>
      </c>
      <c r="G130" s="55">
        <f t="shared" si="64"/>
        <v>1056964.5399999991</v>
      </c>
      <c r="H130" s="355">
        <f t="shared" si="65"/>
        <v>263172.24684551632</v>
      </c>
      <c r="I130" s="381">
        <f t="shared" si="66"/>
        <v>263172.24684551632</v>
      </c>
      <c r="J130" s="54">
        <f t="shared" si="38"/>
        <v>0</v>
      </c>
      <c r="K130" s="54"/>
      <c r="L130" s="115"/>
      <c r="M130" s="54">
        <f t="shared" si="67"/>
        <v>0</v>
      </c>
      <c r="N130" s="115"/>
      <c r="O130" s="54">
        <f t="shared" si="39"/>
        <v>0</v>
      </c>
      <c r="P130" s="54">
        <f t="shared" si="40"/>
        <v>0</v>
      </c>
    </row>
    <row r="131" spans="2:16">
      <c r="B131" s="7" t="str">
        <f t="shared" si="37"/>
        <v/>
      </c>
      <c r="C131" s="50">
        <f>IF(D93="","-",+C130+1)</f>
        <v>2046</v>
      </c>
      <c r="D131" s="12">
        <f>IF(F130+SUM(E$99:E130)=D$92,F130,D$92-SUM(E$99:E130))</f>
        <v>988596.03999999911</v>
      </c>
      <c r="E131" s="354">
        <f t="shared" si="62"/>
        <v>136737</v>
      </c>
      <c r="F131" s="55">
        <f t="shared" si="63"/>
        <v>851859.03999999911</v>
      </c>
      <c r="G131" s="55">
        <f t="shared" si="64"/>
        <v>920227.53999999911</v>
      </c>
      <c r="H131" s="355">
        <f t="shared" si="65"/>
        <v>246815.61831764219</v>
      </c>
      <c r="I131" s="381">
        <f t="shared" si="66"/>
        <v>246815.61831764219</v>
      </c>
      <c r="J131" s="54">
        <f t="shared" si="38"/>
        <v>0</v>
      </c>
      <c r="K131" s="54"/>
      <c r="L131" s="115"/>
      <c r="M131" s="54">
        <f t="shared" ref="M131:M154" si="68">IF(L541&lt;&gt;0,+H541-L541,0)</f>
        <v>0</v>
      </c>
      <c r="N131" s="115"/>
      <c r="O131" s="54">
        <f t="shared" ref="O131:O154" si="69">IF(N541&lt;&gt;0,+I541-N541,0)</f>
        <v>0</v>
      </c>
      <c r="P131" s="54">
        <f t="shared" ref="P131:P154" si="70">+O541-M541</f>
        <v>0</v>
      </c>
    </row>
    <row r="132" spans="2:16">
      <c r="B132" s="7" t="str">
        <f t="shared" si="37"/>
        <v/>
      </c>
      <c r="C132" s="50">
        <f>IF(D93="","-",+C131+1)</f>
        <v>2047</v>
      </c>
      <c r="D132" s="12">
        <f>IF(F131+SUM(E$99:E131)=D$92,F131,D$92-SUM(E$99:E131))</f>
        <v>851859.03999999911</v>
      </c>
      <c r="E132" s="354">
        <f t="shared" si="62"/>
        <v>136737</v>
      </c>
      <c r="F132" s="55">
        <f t="shared" si="63"/>
        <v>715122.03999999911</v>
      </c>
      <c r="G132" s="55">
        <f t="shared" si="64"/>
        <v>783490.53999999911</v>
      </c>
      <c r="H132" s="355">
        <f t="shared" si="65"/>
        <v>230458.98978976803</v>
      </c>
      <c r="I132" s="381">
        <f t="shared" si="66"/>
        <v>230458.98978976803</v>
      </c>
      <c r="J132" s="54">
        <f t="shared" si="38"/>
        <v>0</v>
      </c>
      <c r="K132" s="54"/>
      <c r="L132" s="115"/>
      <c r="M132" s="54">
        <f t="shared" si="68"/>
        <v>0</v>
      </c>
      <c r="N132" s="115"/>
      <c r="O132" s="54">
        <f t="shared" si="69"/>
        <v>0</v>
      </c>
      <c r="P132" s="54">
        <f t="shared" si="70"/>
        <v>0</v>
      </c>
    </row>
    <row r="133" spans="2:16">
      <c r="B133" s="7" t="str">
        <f t="shared" si="37"/>
        <v/>
      </c>
      <c r="C133" s="50">
        <f>IF(D93="","-",+C132+1)</f>
        <v>2048</v>
      </c>
      <c r="D133" s="12">
        <f>IF(F132+SUM(E$99:E132)=D$92,F132,D$92-SUM(E$99:E132))</f>
        <v>715122.03999999911</v>
      </c>
      <c r="E133" s="354">
        <f t="shared" si="62"/>
        <v>136737</v>
      </c>
      <c r="F133" s="55">
        <f t="shared" si="63"/>
        <v>578385.03999999911</v>
      </c>
      <c r="G133" s="55">
        <f t="shared" si="64"/>
        <v>646753.53999999911</v>
      </c>
      <c r="H133" s="355">
        <f t="shared" si="65"/>
        <v>214102.36126189388</v>
      </c>
      <c r="I133" s="381">
        <f t="shared" si="66"/>
        <v>214102.36126189388</v>
      </c>
      <c r="J133" s="54">
        <f t="shared" si="38"/>
        <v>0</v>
      </c>
      <c r="K133" s="54"/>
      <c r="L133" s="115"/>
      <c r="M133" s="54">
        <f t="shared" si="68"/>
        <v>0</v>
      </c>
      <c r="N133" s="115"/>
      <c r="O133" s="54">
        <f t="shared" si="69"/>
        <v>0</v>
      </c>
      <c r="P133" s="54">
        <f t="shared" si="70"/>
        <v>0</v>
      </c>
    </row>
    <row r="134" spans="2:16">
      <c r="B134" s="7" t="str">
        <f t="shared" si="37"/>
        <v/>
      </c>
      <c r="C134" s="50">
        <f>IF(D93="","-",+C133+1)</f>
        <v>2049</v>
      </c>
      <c r="D134" s="12">
        <f>IF(F133+SUM(E$99:E133)=D$92,F133,D$92-SUM(E$99:E133))</f>
        <v>578385.03999999911</v>
      </c>
      <c r="E134" s="354">
        <f t="shared" si="62"/>
        <v>136737</v>
      </c>
      <c r="F134" s="55">
        <f t="shared" si="63"/>
        <v>441648.03999999911</v>
      </c>
      <c r="G134" s="55">
        <f t="shared" si="64"/>
        <v>510016.53999999911</v>
      </c>
      <c r="H134" s="355">
        <f t="shared" si="65"/>
        <v>197745.73273401972</v>
      </c>
      <c r="I134" s="381">
        <f t="shared" si="66"/>
        <v>197745.73273401972</v>
      </c>
      <c r="J134" s="54">
        <f t="shared" si="38"/>
        <v>0</v>
      </c>
      <c r="K134" s="54"/>
      <c r="L134" s="115"/>
      <c r="M134" s="54">
        <f t="shared" si="68"/>
        <v>0</v>
      </c>
      <c r="N134" s="115"/>
      <c r="O134" s="54">
        <f t="shared" si="69"/>
        <v>0</v>
      </c>
      <c r="P134" s="54">
        <f t="shared" si="70"/>
        <v>0</v>
      </c>
    </row>
    <row r="135" spans="2:16">
      <c r="B135" s="7" t="str">
        <f t="shared" si="37"/>
        <v/>
      </c>
      <c r="C135" s="50">
        <f>IF(D93="","-",+C134+1)</f>
        <v>2050</v>
      </c>
      <c r="D135" s="12">
        <f>IF(F134+SUM(E$99:E134)=D$92,F134,D$92-SUM(E$99:E134))</f>
        <v>441648.03999999911</v>
      </c>
      <c r="E135" s="354">
        <f t="shared" si="62"/>
        <v>136737</v>
      </c>
      <c r="F135" s="55">
        <f t="shared" si="63"/>
        <v>304911.03999999911</v>
      </c>
      <c r="G135" s="55">
        <f t="shared" si="64"/>
        <v>373279.53999999911</v>
      </c>
      <c r="H135" s="355">
        <f t="shared" si="65"/>
        <v>181389.10420614557</v>
      </c>
      <c r="I135" s="381">
        <f t="shared" si="66"/>
        <v>181389.10420614557</v>
      </c>
      <c r="J135" s="54">
        <f t="shared" si="38"/>
        <v>0</v>
      </c>
      <c r="K135" s="54"/>
      <c r="L135" s="115"/>
      <c r="M135" s="54">
        <f t="shared" si="68"/>
        <v>0</v>
      </c>
      <c r="N135" s="115"/>
      <c r="O135" s="54">
        <f t="shared" si="69"/>
        <v>0</v>
      </c>
      <c r="P135" s="54">
        <f t="shared" si="70"/>
        <v>0</v>
      </c>
    </row>
    <row r="136" spans="2:16">
      <c r="B136" s="7" t="str">
        <f t="shared" si="37"/>
        <v/>
      </c>
      <c r="C136" s="50">
        <f>IF(D93="","-",+C135+1)</f>
        <v>2051</v>
      </c>
      <c r="D136" s="12">
        <f>IF(F135+SUM(E$99:E135)=D$92,F135,D$92-SUM(E$99:E135))</f>
        <v>304911.03999999911</v>
      </c>
      <c r="E136" s="354">
        <f t="shared" si="62"/>
        <v>136737</v>
      </c>
      <c r="F136" s="55">
        <f t="shared" si="63"/>
        <v>168174.03999999911</v>
      </c>
      <c r="G136" s="55">
        <f t="shared" si="64"/>
        <v>236542.53999999911</v>
      </c>
      <c r="H136" s="355">
        <f t="shared" si="65"/>
        <v>165032.47567827141</v>
      </c>
      <c r="I136" s="381">
        <f t="shared" si="66"/>
        <v>165032.47567827141</v>
      </c>
      <c r="J136" s="54">
        <f t="shared" si="38"/>
        <v>0</v>
      </c>
      <c r="K136" s="54"/>
      <c r="L136" s="115"/>
      <c r="M136" s="54">
        <f t="shared" si="68"/>
        <v>0</v>
      </c>
      <c r="N136" s="115"/>
      <c r="O136" s="54">
        <f t="shared" si="69"/>
        <v>0</v>
      </c>
      <c r="P136" s="54">
        <f t="shared" si="70"/>
        <v>0</v>
      </c>
    </row>
    <row r="137" spans="2:16">
      <c r="B137" s="7" t="str">
        <f t="shared" si="37"/>
        <v/>
      </c>
      <c r="C137" s="50">
        <f>IF(D93="","-",+C136+1)</f>
        <v>2052</v>
      </c>
      <c r="D137" s="12">
        <f>IF(F136+SUM(E$99:E136)=D$92,F136,D$92-SUM(E$99:E136))</f>
        <v>168174.03999999911</v>
      </c>
      <c r="E137" s="354">
        <f t="shared" si="62"/>
        <v>136737</v>
      </c>
      <c r="F137" s="55">
        <f t="shared" si="63"/>
        <v>31437.039999999106</v>
      </c>
      <c r="G137" s="55">
        <f t="shared" si="64"/>
        <v>99805.539999999106</v>
      </c>
      <c r="H137" s="355">
        <f t="shared" si="65"/>
        <v>148675.84715039725</v>
      </c>
      <c r="I137" s="381">
        <f t="shared" si="66"/>
        <v>148675.84715039725</v>
      </c>
      <c r="J137" s="54">
        <f t="shared" si="38"/>
        <v>0</v>
      </c>
      <c r="K137" s="54"/>
      <c r="L137" s="115"/>
      <c r="M137" s="54">
        <f t="shared" si="68"/>
        <v>0</v>
      </c>
      <c r="N137" s="115"/>
      <c r="O137" s="54">
        <f t="shared" si="69"/>
        <v>0</v>
      </c>
      <c r="P137" s="54">
        <f t="shared" si="70"/>
        <v>0</v>
      </c>
    </row>
    <row r="138" spans="2:16">
      <c r="B138" s="7" t="str">
        <f t="shared" si="37"/>
        <v/>
      </c>
      <c r="C138" s="50">
        <f>IF(D93="","-",+C137+1)</f>
        <v>2053</v>
      </c>
      <c r="D138" s="12">
        <f>IF(F137+SUM(E$99:E137)=D$92,F137,D$92-SUM(E$99:E137))</f>
        <v>31437.039999999106</v>
      </c>
      <c r="E138" s="354">
        <f t="shared" si="62"/>
        <v>31437.039999999106</v>
      </c>
      <c r="F138" s="55">
        <f t="shared" si="63"/>
        <v>0</v>
      </c>
      <c r="G138" s="55">
        <f t="shared" si="64"/>
        <v>15718.519999999553</v>
      </c>
      <c r="H138" s="355">
        <f t="shared" si="65"/>
        <v>33317.306443229201</v>
      </c>
      <c r="I138" s="381">
        <f t="shared" si="66"/>
        <v>33317.306443229201</v>
      </c>
      <c r="J138" s="54">
        <f t="shared" si="38"/>
        <v>0</v>
      </c>
      <c r="K138" s="54"/>
      <c r="L138" s="115"/>
      <c r="M138" s="54">
        <f t="shared" si="68"/>
        <v>0</v>
      </c>
      <c r="N138" s="115"/>
      <c r="O138" s="54">
        <f t="shared" si="69"/>
        <v>0</v>
      </c>
      <c r="P138" s="54">
        <f t="shared" si="70"/>
        <v>0</v>
      </c>
    </row>
    <row r="139" spans="2:16">
      <c r="B139" s="7" t="str">
        <f t="shared" si="37"/>
        <v/>
      </c>
      <c r="C139" s="50">
        <f>IF(D93="","-",+C138+1)</f>
        <v>2054</v>
      </c>
      <c r="D139" s="12">
        <f>IF(F138+SUM(E$99:E138)=D$92,F138,D$92-SUM(E$99:E138))</f>
        <v>0</v>
      </c>
      <c r="E139" s="354">
        <f t="shared" si="62"/>
        <v>0</v>
      </c>
      <c r="F139" s="55">
        <f t="shared" si="63"/>
        <v>0</v>
      </c>
      <c r="G139" s="55">
        <f t="shared" si="64"/>
        <v>0</v>
      </c>
      <c r="H139" s="355">
        <f t="shared" si="65"/>
        <v>0</v>
      </c>
      <c r="I139" s="381">
        <f t="shared" si="66"/>
        <v>0</v>
      </c>
      <c r="J139" s="54">
        <f t="shared" si="38"/>
        <v>0</v>
      </c>
      <c r="K139" s="54"/>
      <c r="L139" s="115"/>
      <c r="M139" s="54">
        <f t="shared" si="68"/>
        <v>0</v>
      </c>
      <c r="N139" s="115"/>
      <c r="O139" s="54">
        <f t="shared" si="69"/>
        <v>0</v>
      </c>
      <c r="P139" s="54">
        <f t="shared" si="70"/>
        <v>0</v>
      </c>
    </row>
    <row r="140" spans="2:16">
      <c r="B140" s="7" t="str">
        <f t="shared" si="37"/>
        <v/>
      </c>
      <c r="C140" s="50">
        <f>IF(D93="","-",+C139+1)</f>
        <v>2055</v>
      </c>
      <c r="D140" s="12">
        <f>IF(F139+SUM(E$99:E139)=D$92,F139,D$92-SUM(E$99:E139))</f>
        <v>0</v>
      </c>
      <c r="E140" s="354">
        <f t="shared" si="62"/>
        <v>0</v>
      </c>
      <c r="F140" s="55">
        <f t="shared" si="63"/>
        <v>0</v>
      </c>
      <c r="G140" s="55">
        <f t="shared" si="64"/>
        <v>0</v>
      </c>
      <c r="H140" s="355">
        <f t="shared" si="65"/>
        <v>0</v>
      </c>
      <c r="I140" s="381">
        <f t="shared" si="66"/>
        <v>0</v>
      </c>
      <c r="J140" s="54">
        <f t="shared" si="38"/>
        <v>0</v>
      </c>
      <c r="K140" s="54"/>
      <c r="L140" s="115"/>
      <c r="M140" s="54">
        <f t="shared" si="68"/>
        <v>0</v>
      </c>
      <c r="N140" s="115"/>
      <c r="O140" s="54">
        <f t="shared" si="69"/>
        <v>0</v>
      </c>
      <c r="P140" s="54">
        <f t="shared" si="70"/>
        <v>0</v>
      </c>
    </row>
    <row r="141" spans="2:16">
      <c r="B141" s="7" t="str">
        <f t="shared" si="37"/>
        <v/>
      </c>
      <c r="C141" s="50">
        <f>IF(D93="","-",+C140+1)</f>
        <v>2056</v>
      </c>
      <c r="D141" s="12">
        <f>IF(F140+SUM(E$99:E140)=D$92,F140,D$92-SUM(E$99:E140))</f>
        <v>0</v>
      </c>
      <c r="E141" s="354">
        <f t="shared" si="62"/>
        <v>0</v>
      </c>
      <c r="F141" s="55">
        <f t="shared" si="63"/>
        <v>0</v>
      </c>
      <c r="G141" s="55">
        <f t="shared" si="64"/>
        <v>0</v>
      </c>
      <c r="H141" s="355">
        <f t="shared" si="65"/>
        <v>0</v>
      </c>
      <c r="I141" s="381">
        <f t="shared" si="66"/>
        <v>0</v>
      </c>
      <c r="J141" s="54">
        <f t="shared" si="38"/>
        <v>0</v>
      </c>
      <c r="K141" s="54"/>
      <c r="L141" s="115"/>
      <c r="M141" s="54">
        <f t="shared" si="68"/>
        <v>0</v>
      </c>
      <c r="N141" s="115"/>
      <c r="O141" s="54">
        <f t="shared" si="69"/>
        <v>0</v>
      </c>
      <c r="P141" s="54">
        <f t="shared" si="70"/>
        <v>0</v>
      </c>
    </row>
    <row r="142" spans="2:16">
      <c r="B142" s="7" t="str">
        <f t="shared" si="37"/>
        <v/>
      </c>
      <c r="C142" s="50">
        <f>IF(D93="","-",+C141+1)</f>
        <v>2057</v>
      </c>
      <c r="D142" s="12">
        <f>IF(F141+SUM(E$99:E141)=D$92,F141,D$92-SUM(E$99:E141))</f>
        <v>0</v>
      </c>
      <c r="E142" s="354">
        <f t="shared" si="62"/>
        <v>0</v>
      </c>
      <c r="F142" s="55">
        <f t="shared" si="63"/>
        <v>0</v>
      </c>
      <c r="G142" s="55">
        <f t="shared" si="64"/>
        <v>0</v>
      </c>
      <c r="H142" s="355">
        <f t="shared" si="65"/>
        <v>0</v>
      </c>
      <c r="I142" s="381">
        <f t="shared" si="66"/>
        <v>0</v>
      </c>
      <c r="J142" s="54">
        <f t="shared" si="38"/>
        <v>0</v>
      </c>
      <c r="K142" s="54"/>
      <c r="L142" s="115"/>
      <c r="M142" s="54">
        <f t="shared" si="68"/>
        <v>0</v>
      </c>
      <c r="N142" s="115"/>
      <c r="O142" s="54">
        <f t="shared" si="69"/>
        <v>0</v>
      </c>
      <c r="P142" s="54">
        <f t="shared" si="70"/>
        <v>0</v>
      </c>
    </row>
    <row r="143" spans="2:16">
      <c r="B143" s="7" t="str">
        <f t="shared" si="37"/>
        <v/>
      </c>
      <c r="C143" s="50">
        <f>IF(D93="","-",+C142+1)</f>
        <v>2058</v>
      </c>
      <c r="D143" s="12">
        <f>IF(F142+SUM(E$99:E142)=D$92,F142,D$92-SUM(E$99:E142))</f>
        <v>0</v>
      </c>
      <c r="E143" s="354">
        <f t="shared" si="62"/>
        <v>0</v>
      </c>
      <c r="F143" s="55">
        <f t="shared" si="63"/>
        <v>0</v>
      </c>
      <c r="G143" s="55">
        <f t="shared" si="64"/>
        <v>0</v>
      </c>
      <c r="H143" s="355">
        <f t="shared" si="65"/>
        <v>0</v>
      </c>
      <c r="I143" s="381">
        <f t="shared" si="66"/>
        <v>0</v>
      </c>
      <c r="J143" s="54">
        <f t="shared" si="38"/>
        <v>0</v>
      </c>
      <c r="K143" s="54"/>
      <c r="L143" s="115"/>
      <c r="M143" s="54">
        <f t="shared" si="68"/>
        <v>0</v>
      </c>
      <c r="N143" s="115"/>
      <c r="O143" s="54">
        <f t="shared" si="69"/>
        <v>0</v>
      </c>
      <c r="P143" s="54">
        <f t="shared" si="70"/>
        <v>0</v>
      </c>
    </row>
    <row r="144" spans="2:16">
      <c r="B144" s="7" t="str">
        <f t="shared" si="37"/>
        <v/>
      </c>
      <c r="C144" s="50">
        <f>IF(D93="","-",+C143+1)</f>
        <v>2059</v>
      </c>
      <c r="D144" s="12">
        <f>IF(F143+SUM(E$99:E143)=D$92,F143,D$92-SUM(E$99:E143))</f>
        <v>0</v>
      </c>
      <c r="E144" s="354">
        <f t="shared" si="62"/>
        <v>0</v>
      </c>
      <c r="F144" s="55">
        <f t="shared" si="63"/>
        <v>0</v>
      </c>
      <c r="G144" s="55">
        <f t="shared" si="64"/>
        <v>0</v>
      </c>
      <c r="H144" s="355">
        <f t="shared" si="65"/>
        <v>0</v>
      </c>
      <c r="I144" s="381">
        <f t="shared" si="66"/>
        <v>0</v>
      </c>
      <c r="J144" s="54">
        <f t="shared" si="38"/>
        <v>0</v>
      </c>
      <c r="K144" s="54"/>
      <c r="L144" s="115"/>
      <c r="M144" s="54">
        <f t="shared" si="68"/>
        <v>0</v>
      </c>
      <c r="N144" s="115"/>
      <c r="O144" s="54">
        <f t="shared" si="69"/>
        <v>0</v>
      </c>
      <c r="P144" s="54">
        <f t="shared" si="70"/>
        <v>0</v>
      </c>
    </row>
    <row r="145" spans="2:16">
      <c r="B145" s="7" t="str">
        <f t="shared" si="37"/>
        <v/>
      </c>
      <c r="C145" s="50">
        <f>IF(D93="","-",+C144+1)</f>
        <v>2060</v>
      </c>
      <c r="D145" s="12">
        <f>IF(F144+SUM(E$99:E144)=D$92,F144,D$92-SUM(E$99:E144))</f>
        <v>0</v>
      </c>
      <c r="E145" s="354">
        <f t="shared" si="62"/>
        <v>0</v>
      </c>
      <c r="F145" s="55">
        <f t="shared" si="63"/>
        <v>0</v>
      </c>
      <c r="G145" s="55">
        <f t="shared" si="64"/>
        <v>0</v>
      </c>
      <c r="H145" s="355">
        <f t="shared" si="65"/>
        <v>0</v>
      </c>
      <c r="I145" s="381">
        <f t="shared" si="66"/>
        <v>0</v>
      </c>
      <c r="J145" s="54">
        <f t="shared" si="38"/>
        <v>0</v>
      </c>
      <c r="K145" s="54"/>
      <c r="L145" s="115"/>
      <c r="M145" s="54">
        <f t="shared" si="68"/>
        <v>0</v>
      </c>
      <c r="N145" s="115"/>
      <c r="O145" s="54">
        <f t="shared" si="69"/>
        <v>0</v>
      </c>
      <c r="P145" s="54">
        <f t="shared" si="70"/>
        <v>0</v>
      </c>
    </row>
    <row r="146" spans="2:16">
      <c r="B146" s="7" t="str">
        <f t="shared" si="37"/>
        <v/>
      </c>
      <c r="C146" s="50">
        <f>IF(D93="","-",+C145+1)</f>
        <v>2061</v>
      </c>
      <c r="D146" s="12">
        <f>IF(F145+SUM(E$99:E145)=D$92,F145,D$92-SUM(E$99:E145))</f>
        <v>0</v>
      </c>
      <c r="E146" s="354">
        <f t="shared" si="62"/>
        <v>0</v>
      </c>
      <c r="F146" s="55">
        <f t="shared" si="63"/>
        <v>0</v>
      </c>
      <c r="G146" s="55">
        <f t="shared" si="64"/>
        <v>0</v>
      </c>
      <c r="H146" s="355">
        <f t="shared" si="65"/>
        <v>0</v>
      </c>
      <c r="I146" s="381">
        <f t="shared" si="66"/>
        <v>0</v>
      </c>
      <c r="J146" s="54">
        <f t="shared" si="38"/>
        <v>0</v>
      </c>
      <c r="K146" s="54"/>
      <c r="L146" s="115"/>
      <c r="M146" s="54">
        <f t="shared" si="68"/>
        <v>0</v>
      </c>
      <c r="N146" s="115"/>
      <c r="O146" s="54">
        <f t="shared" si="69"/>
        <v>0</v>
      </c>
      <c r="P146" s="54">
        <f t="shared" si="70"/>
        <v>0</v>
      </c>
    </row>
    <row r="147" spans="2:16">
      <c r="B147" s="7" t="str">
        <f t="shared" si="37"/>
        <v/>
      </c>
      <c r="C147" s="50">
        <f>IF(D93="","-",+C146+1)</f>
        <v>2062</v>
      </c>
      <c r="D147" s="12">
        <f>IF(F146+SUM(E$99:E146)=D$92,F146,D$92-SUM(E$99:E146))</f>
        <v>0</v>
      </c>
      <c r="E147" s="354">
        <f t="shared" si="62"/>
        <v>0</v>
      </c>
      <c r="F147" s="55">
        <f t="shared" si="63"/>
        <v>0</v>
      </c>
      <c r="G147" s="55">
        <f t="shared" si="64"/>
        <v>0</v>
      </c>
      <c r="H147" s="355">
        <f t="shared" si="65"/>
        <v>0</v>
      </c>
      <c r="I147" s="381">
        <f t="shared" si="66"/>
        <v>0</v>
      </c>
      <c r="J147" s="54">
        <f t="shared" si="38"/>
        <v>0</v>
      </c>
      <c r="K147" s="54"/>
      <c r="L147" s="115"/>
      <c r="M147" s="54">
        <f t="shared" si="68"/>
        <v>0</v>
      </c>
      <c r="N147" s="115"/>
      <c r="O147" s="54">
        <f t="shared" si="69"/>
        <v>0</v>
      </c>
      <c r="P147" s="54">
        <f t="shared" si="70"/>
        <v>0</v>
      </c>
    </row>
    <row r="148" spans="2:16">
      <c r="B148" s="7" t="str">
        <f t="shared" si="37"/>
        <v/>
      </c>
      <c r="C148" s="50">
        <f>IF(D93="","-",+C147+1)</f>
        <v>2063</v>
      </c>
      <c r="D148" s="12">
        <f>IF(F147+SUM(E$99:E147)=D$92,F147,D$92-SUM(E$99:E147))</f>
        <v>0</v>
      </c>
      <c r="E148" s="354">
        <f t="shared" si="62"/>
        <v>0</v>
      </c>
      <c r="F148" s="55">
        <f t="shared" si="63"/>
        <v>0</v>
      </c>
      <c r="G148" s="55">
        <f t="shared" si="64"/>
        <v>0</v>
      </c>
      <c r="H148" s="355">
        <f t="shared" si="65"/>
        <v>0</v>
      </c>
      <c r="I148" s="381">
        <f t="shared" si="66"/>
        <v>0</v>
      </c>
      <c r="J148" s="54">
        <f t="shared" si="38"/>
        <v>0</v>
      </c>
      <c r="K148" s="54"/>
      <c r="L148" s="115"/>
      <c r="M148" s="54">
        <f t="shared" si="68"/>
        <v>0</v>
      </c>
      <c r="N148" s="115"/>
      <c r="O148" s="54">
        <f t="shared" si="69"/>
        <v>0</v>
      </c>
      <c r="P148" s="54">
        <f t="shared" si="70"/>
        <v>0</v>
      </c>
    </row>
    <row r="149" spans="2:16">
      <c r="B149" s="7" t="str">
        <f t="shared" si="37"/>
        <v/>
      </c>
      <c r="C149" s="50">
        <f>IF(D93="","-",+C148+1)</f>
        <v>2064</v>
      </c>
      <c r="D149" s="12">
        <f>IF(F148+SUM(E$99:E148)=D$92,F148,D$92-SUM(E$99:E148))</f>
        <v>0</v>
      </c>
      <c r="E149" s="354">
        <f t="shared" si="62"/>
        <v>0</v>
      </c>
      <c r="F149" s="55">
        <f t="shared" si="63"/>
        <v>0</v>
      </c>
      <c r="G149" s="55">
        <f t="shared" si="64"/>
        <v>0</v>
      </c>
      <c r="H149" s="355">
        <f t="shared" si="65"/>
        <v>0</v>
      </c>
      <c r="I149" s="381">
        <f t="shared" si="66"/>
        <v>0</v>
      </c>
      <c r="J149" s="54">
        <f t="shared" si="38"/>
        <v>0</v>
      </c>
      <c r="K149" s="54"/>
      <c r="L149" s="115"/>
      <c r="M149" s="54">
        <f t="shared" si="68"/>
        <v>0</v>
      </c>
      <c r="N149" s="115"/>
      <c r="O149" s="54">
        <f t="shared" si="69"/>
        <v>0</v>
      </c>
      <c r="P149" s="54">
        <f t="shared" si="70"/>
        <v>0</v>
      </c>
    </row>
    <row r="150" spans="2:16">
      <c r="B150" s="7" t="str">
        <f t="shared" si="37"/>
        <v/>
      </c>
      <c r="C150" s="50">
        <f>IF(D93="","-",+C149+1)</f>
        <v>2065</v>
      </c>
      <c r="D150" s="12">
        <f>IF(F149+SUM(E$99:E149)=D$92,F149,D$92-SUM(E$99:E149))</f>
        <v>0</v>
      </c>
      <c r="E150" s="354">
        <f t="shared" si="62"/>
        <v>0</v>
      </c>
      <c r="F150" s="55">
        <f t="shared" si="63"/>
        <v>0</v>
      </c>
      <c r="G150" s="55">
        <f t="shared" si="64"/>
        <v>0</v>
      </c>
      <c r="H150" s="355">
        <f t="shared" si="65"/>
        <v>0</v>
      </c>
      <c r="I150" s="381">
        <f t="shared" si="66"/>
        <v>0</v>
      </c>
      <c r="J150" s="54">
        <f t="shared" si="38"/>
        <v>0</v>
      </c>
      <c r="K150" s="54"/>
      <c r="L150" s="115"/>
      <c r="M150" s="54">
        <f t="shared" si="68"/>
        <v>0</v>
      </c>
      <c r="N150" s="115"/>
      <c r="O150" s="54">
        <f t="shared" si="69"/>
        <v>0</v>
      </c>
      <c r="P150" s="54">
        <f t="shared" si="70"/>
        <v>0</v>
      </c>
    </row>
    <row r="151" spans="2:16">
      <c r="B151" s="7" t="str">
        <f t="shared" si="37"/>
        <v/>
      </c>
      <c r="C151" s="50">
        <f>IF(D93="","-",+C150+1)</f>
        <v>2066</v>
      </c>
      <c r="D151" s="12">
        <f>IF(F150+SUM(E$99:E150)=D$92,F150,D$92-SUM(E$99:E150))</f>
        <v>0</v>
      </c>
      <c r="E151" s="354">
        <f t="shared" si="62"/>
        <v>0</v>
      </c>
      <c r="F151" s="55">
        <f t="shared" si="63"/>
        <v>0</v>
      </c>
      <c r="G151" s="55">
        <f t="shared" si="64"/>
        <v>0</v>
      </c>
      <c r="H151" s="355">
        <f t="shared" si="65"/>
        <v>0</v>
      </c>
      <c r="I151" s="381">
        <f t="shared" si="66"/>
        <v>0</v>
      </c>
      <c r="J151" s="54">
        <f t="shared" si="38"/>
        <v>0</v>
      </c>
      <c r="K151" s="54"/>
      <c r="L151" s="115"/>
      <c r="M151" s="54">
        <f t="shared" si="68"/>
        <v>0</v>
      </c>
      <c r="N151" s="115"/>
      <c r="O151" s="54">
        <f t="shared" si="69"/>
        <v>0</v>
      </c>
      <c r="P151" s="54">
        <f t="shared" si="70"/>
        <v>0</v>
      </c>
    </row>
    <row r="152" spans="2:16">
      <c r="B152" s="7" t="str">
        <f t="shared" si="37"/>
        <v/>
      </c>
      <c r="C152" s="50">
        <f>IF(D93="","-",+C151+1)</f>
        <v>2067</v>
      </c>
      <c r="D152" s="12">
        <f>IF(F151+SUM(E$99:E151)=D$92,F151,D$92-SUM(E$99:E151))</f>
        <v>0</v>
      </c>
      <c r="E152" s="354">
        <f t="shared" si="62"/>
        <v>0</v>
      </c>
      <c r="F152" s="55">
        <f t="shared" si="63"/>
        <v>0</v>
      </c>
      <c r="G152" s="55">
        <f t="shared" si="64"/>
        <v>0</v>
      </c>
      <c r="H152" s="355">
        <f t="shared" si="65"/>
        <v>0</v>
      </c>
      <c r="I152" s="381">
        <f t="shared" si="66"/>
        <v>0</v>
      </c>
      <c r="J152" s="54">
        <f t="shared" si="38"/>
        <v>0</v>
      </c>
      <c r="K152" s="54"/>
      <c r="L152" s="115"/>
      <c r="M152" s="54">
        <f t="shared" si="68"/>
        <v>0</v>
      </c>
      <c r="N152" s="115"/>
      <c r="O152" s="54">
        <f t="shared" si="69"/>
        <v>0</v>
      </c>
      <c r="P152" s="54">
        <f t="shared" si="70"/>
        <v>0</v>
      </c>
    </row>
    <row r="153" spans="2:16">
      <c r="B153" s="7" t="str">
        <f t="shared" si="37"/>
        <v/>
      </c>
      <c r="C153" s="50">
        <f>IF(D93="","-",+C152+1)</f>
        <v>2068</v>
      </c>
      <c r="D153" s="12">
        <f>IF(F152+SUM(E$99:E152)=D$92,F152,D$92-SUM(E$99:E152))</f>
        <v>0</v>
      </c>
      <c r="E153" s="354">
        <f t="shared" si="62"/>
        <v>0</v>
      </c>
      <c r="F153" s="55">
        <f t="shared" si="63"/>
        <v>0</v>
      </c>
      <c r="G153" s="55">
        <f t="shared" si="64"/>
        <v>0</v>
      </c>
      <c r="H153" s="355">
        <f t="shared" si="65"/>
        <v>0</v>
      </c>
      <c r="I153" s="381">
        <f t="shared" si="66"/>
        <v>0</v>
      </c>
      <c r="J153" s="54">
        <f t="shared" si="38"/>
        <v>0</v>
      </c>
      <c r="K153" s="54"/>
      <c r="L153" s="115"/>
      <c r="M153" s="54">
        <f t="shared" si="68"/>
        <v>0</v>
      </c>
      <c r="N153" s="115"/>
      <c r="O153" s="54">
        <f t="shared" si="69"/>
        <v>0</v>
      </c>
      <c r="P153" s="54">
        <f t="shared" si="70"/>
        <v>0</v>
      </c>
    </row>
    <row r="154" spans="2:16" ht="13.5" thickBot="1">
      <c r="B154" s="7" t="str">
        <f t="shared" si="37"/>
        <v/>
      </c>
      <c r="C154" s="58">
        <f>IF(D93="","-",+C153+1)</f>
        <v>2069</v>
      </c>
      <c r="D154" s="403">
        <f>IF(F153+SUM(E$99:E153)=D$92,F153,D$92-SUM(E$99:E153))</f>
        <v>0</v>
      </c>
      <c r="E154" s="357">
        <f t="shared" si="62"/>
        <v>0</v>
      </c>
      <c r="F154" s="59">
        <f t="shared" si="63"/>
        <v>0</v>
      </c>
      <c r="G154" s="59">
        <f t="shared" si="64"/>
        <v>0</v>
      </c>
      <c r="H154" s="358">
        <f t="shared" ref="H154" si="71">+J$94*G154+E154</f>
        <v>0</v>
      </c>
      <c r="I154" s="383">
        <f t="shared" ref="I154" si="72">+J$95*G154+E154</f>
        <v>0</v>
      </c>
      <c r="J154" s="62">
        <f t="shared" si="38"/>
        <v>0</v>
      </c>
      <c r="K154" s="62"/>
      <c r="L154" s="116"/>
      <c r="M154" s="62">
        <f t="shared" si="68"/>
        <v>0</v>
      </c>
      <c r="N154" s="116"/>
      <c r="O154" s="62">
        <f t="shared" si="69"/>
        <v>0</v>
      </c>
      <c r="P154" s="62">
        <f t="shared" si="70"/>
        <v>0</v>
      </c>
    </row>
    <row r="155" spans="2:16">
      <c r="C155" s="12" t="s">
        <v>77</v>
      </c>
      <c r="D155" s="266"/>
      <c r="E155" s="266">
        <f>SUM(E99:E154)</f>
        <v>5059278.0399999991</v>
      </c>
      <c r="F155" s="266"/>
      <c r="G155" s="266"/>
      <c r="H155" s="266">
        <f>SUM(H99:H154)</f>
        <v>17265018.351915859</v>
      </c>
      <c r="I155" s="266">
        <f>SUM(I99:I154)</f>
        <v>17265018.351915859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>
    <tabColor rgb="FF92D050"/>
  </sheetPr>
  <dimension ref="A1:S137"/>
  <sheetViews>
    <sheetView zoomScaleNormal="100" zoomScaleSheetLayoutView="80" workbookViewId="0">
      <selection activeCell="M130" sqref="M13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16.140625" customWidth="1"/>
    <col min="10" max="10" width="2.1406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3.5703125" bestFit="1" customWidth="1"/>
    <col min="17" max="17" width="4.7109375" customWidth="1"/>
    <col min="18" max="18" width="15.42578125" customWidth="1"/>
    <col min="19" max="19" width="81.85546875" bestFit="1" customWidth="1"/>
    <col min="23" max="23" width="9.140625" customWidth="1"/>
  </cols>
  <sheetData>
    <row r="1" spans="1:18" ht="18">
      <c r="A1" s="537" t="s">
        <v>123</v>
      </c>
      <c r="B1" s="538"/>
      <c r="C1" s="538"/>
      <c r="D1" s="538"/>
      <c r="E1" s="538"/>
      <c r="F1" s="538"/>
      <c r="G1" s="538"/>
      <c r="H1" s="538"/>
      <c r="I1" s="538"/>
      <c r="J1" s="538"/>
    </row>
    <row r="2" spans="1:18" ht="18">
      <c r="A2" s="539" t="str">
        <f>L19+1&amp;" Cost of Service Formula Rate Projected on "&amp;L19&amp;" FF1 Balances"</f>
        <v>2026 Cost of Service Formula Rate Projected on 2025 FF1 Balances</v>
      </c>
      <c r="B2" s="539"/>
      <c r="C2" s="539"/>
      <c r="D2" s="539"/>
      <c r="E2" s="539"/>
      <c r="F2" s="539"/>
      <c r="G2" s="539"/>
      <c r="H2" s="539"/>
      <c r="I2" s="539"/>
      <c r="J2" s="539"/>
    </row>
    <row r="3" spans="1:18" ht="18">
      <c r="A3" s="540" t="s">
        <v>140</v>
      </c>
      <c r="B3" s="539"/>
      <c r="C3" s="539"/>
      <c r="D3" s="539"/>
      <c r="E3" s="539"/>
      <c r="F3" s="539"/>
      <c r="G3" s="539"/>
      <c r="H3" s="539"/>
      <c r="I3" s="539"/>
      <c r="J3" s="539"/>
      <c r="Q3" s="91" t="s">
        <v>125</v>
      </c>
    </row>
    <row r="4" spans="1:18" ht="18">
      <c r="A4" s="539" t="str">
        <f>"Based on a Carrying Charge Derived from ""Historic"" "&amp;L19&amp;" Data"</f>
        <v>Based on a Carrying Charge Derived from "Historic" 2025 Data</v>
      </c>
      <c r="B4" s="539"/>
      <c r="C4" s="539"/>
      <c r="D4" s="539"/>
      <c r="E4" s="539"/>
      <c r="F4" s="539"/>
      <c r="G4" s="539"/>
      <c r="H4" s="539"/>
      <c r="I4" s="539"/>
      <c r="J4" s="539"/>
    </row>
    <row r="5" spans="1:18" ht="18">
      <c r="A5" s="541" t="s">
        <v>124</v>
      </c>
      <c r="B5" s="541"/>
      <c r="C5" s="541"/>
      <c r="D5" s="541"/>
      <c r="E5" s="541"/>
      <c r="F5" s="541"/>
      <c r="G5" s="541"/>
      <c r="H5" s="541"/>
      <c r="I5" s="541"/>
      <c r="J5" s="541"/>
    </row>
    <row r="6" spans="1:18">
      <c r="A6" s="1"/>
      <c r="B6" s="1"/>
      <c r="C6" s="1"/>
      <c r="D6" s="2"/>
      <c r="E6" s="1"/>
      <c r="F6" s="1"/>
      <c r="G6" s="1"/>
      <c r="H6" s="202"/>
      <c r="I6" s="1"/>
      <c r="J6" s="1"/>
    </row>
    <row r="7" spans="1:18">
      <c r="D7" s="7"/>
      <c r="H7" s="183"/>
    </row>
    <row r="8" spans="1:18" ht="38.25" customHeight="1">
      <c r="B8" s="203" t="s">
        <v>0</v>
      </c>
      <c r="C8" s="534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535"/>
      <c r="E8" s="535"/>
      <c r="F8" s="535"/>
      <c r="G8" s="535"/>
      <c r="H8" s="535"/>
      <c r="R8" s="197"/>
    </row>
    <row r="9" spans="1:18">
      <c r="D9" s="7"/>
      <c r="H9" s="183"/>
    </row>
    <row r="10" spans="1:18" ht="15.7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H10" s="183"/>
      <c r="K10" s="204"/>
      <c r="L10" s="205"/>
    </row>
    <row r="11" spans="1:18">
      <c r="D11" s="7"/>
      <c r="H11" s="183"/>
    </row>
    <row r="12" spans="1:18">
      <c r="C12" s="206" t="str">
        <f>S105</f>
        <v xml:space="preserve">   ROE w/o incentives  (Projected TCOS, ln 148)</v>
      </c>
      <c r="D12" s="7"/>
      <c r="E12" s="207"/>
      <c r="F12" s="208">
        <v>0.112</v>
      </c>
      <c r="G12" s="209"/>
      <c r="H12" s="210"/>
      <c r="I12" s="211"/>
      <c r="J12" s="211"/>
      <c r="K12" s="211"/>
      <c r="L12" s="211"/>
      <c r="M12" s="211"/>
      <c r="N12" s="211"/>
      <c r="O12" s="207"/>
      <c r="P12" s="211"/>
      <c r="Q12" s="1"/>
    </row>
    <row r="13" spans="1:18">
      <c r="C13" s="206" t="s">
        <v>1</v>
      </c>
      <c r="D13" s="7"/>
      <c r="E13" s="207"/>
      <c r="F13" s="212">
        <f>+R106</f>
        <v>0</v>
      </c>
      <c r="G13" t="s">
        <v>152</v>
      </c>
      <c r="K13" s="211"/>
      <c r="L13" s="211"/>
      <c r="M13" s="211"/>
      <c r="N13" s="211"/>
      <c r="O13" s="207"/>
      <c r="P13" s="211"/>
      <c r="Q13" s="1"/>
    </row>
    <row r="14" spans="1:18" ht="13.5" thickBot="1">
      <c r="C14" s="206" t="str">
        <f>"   ROE with additional "&amp;F13&amp;" basis point incentive"</f>
        <v xml:space="preserve">   ROE with additional 0 basis point incentive</v>
      </c>
      <c r="D14" s="207"/>
      <c r="E14" s="207"/>
      <c r="F14" s="213">
        <f>IF((F12+(F13/10000)&gt;0.1245),"ERROR",F12+(F13/10000))</f>
        <v>0.112</v>
      </c>
      <c r="G14" s="214" t="s">
        <v>2</v>
      </c>
      <c r="H14" s="211"/>
      <c r="I14" s="211"/>
      <c r="J14" s="211"/>
      <c r="K14" s="211"/>
      <c r="L14" s="211"/>
      <c r="M14" s="211"/>
      <c r="N14" s="211"/>
      <c r="O14" s="207"/>
      <c r="P14" s="211"/>
      <c r="Q14" s="1"/>
    </row>
    <row r="15" spans="1:18">
      <c r="C15" s="206" t="s">
        <v>231</v>
      </c>
      <c r="D15" s="7"/>
      <c r="E15" s="207"/>
      <c r="F15" s="213"/>
      <c r="G15" s="207"/>
      <c r="H15" s="211"/>
      <c r="I15" s="211"/>
      <c r="J15" s="211"/>
      <c r="K15" s="528" t="s">
        <v>3</v>
      </c>
      <c r="L15" s="529"/>
      <c r="M15" s="529"/>
      <c r="N15" s="529"/>
      <c r="O15" s="530"/>
      <c r="P15" s="211"/>
      <c r="Q15" s="1"/>
    </row>
    <row r="16" spans="1:18">
      <c r="C16" s="211"/>
      <c r="D16" s="215" t="s">
        <v>4</v>
      </c>
      <c r="E16" s="215" t="s">
        <v>5</v>
      </c>
      <c r="F16" s="216" t="s">
        <v>6</v>
      </c>
      <c r="G16" s="207"/>
      <c r="H16" s="211"/>
      <c r="I16" s="211"/>
      <c r="J16" s="211"/>
      <c r="K16" s="531"/>
      <c r="L16" s="532"/>
      <c r="M16" s="532"/>
      <c r="N16" s="532"/>
      <c r="O16" s="533"/>
      <c r="P16" s="211"/>
      <c r="Q16" s="1"/>
    </row>
    <row r="17" spans="3:17">
      <c r="C17" s="217" t="s">
        <v>7</v>
      </c>
      <c r="D17" s="218">
        <f>+R107</f>
        <v>0.50761501101196504</v>
      </c>
      <c r="E17" s="219">
        <f>+R108</f>
        <v>4.6096928424697696E-2</v>
      </c>
      <c r="F17" s="220">
        <f>E17*D17</f>
        <v>2.3399492829920685E-2</v>
      </c>
      <c r="G17" s="207"/>
      <c r="H17" s="211"/>
      <c r="I17" s="221"/>
      <c r="J17" s="221"/>
      <c r="K17" s="222"/>
      <c r="L17" s="223"/>
      <c r="M17" s="211" t="s">
        <v>8</v>
      </c>
      <c r="N17" s="211" t="s">
        <v>9</v>
      </c>
      <c r="O17" s="224" t="s">
        <v>10</v>
      </c>
      <c r="P17" s="211"/>
      <c r="Q17" s="1"/>
    </row>
    <row r="18" spans="3:17">
      <c r="C18" s="217" t="s">
        <v>11</v>
      </c>
      <c r="D18" s="218">
        <f>+R109</f>
        <v>0</v>
      </c>
      <c r="E18" s="219">
        <f>+R110</f>
        <v>0</v>
      </c>
      <c r="F18" s="220">
        <f>E18*D18</f>
        <v>0</v>
      </c>
      <c r="G18" s="225"/>
      <c r="H18" s="225"/>
      <c r="I18" s="226"/>
      <c r="J18" s="226"/>
      <c r="K18" s="227"/>
      <c r="O18" s="228"/>
      <c r="P18" s="225"/>
      <c r="Q18" s="1"/>
    </row>
    <row r="19" spans="3:17" ht="13.5" thickBot="1">
      <c r="C19" s="217" t="s">
        <v>12</v>
      </c>
      <c r="D19" s="218">
        <f>+R111</f>
        <v>0.49238498898803484</v>
      </c>
      <c r="E19" s="219">
        <f>+F14</f>
        <v>0.112</v>
      </c>
      <c r="F19" s="229">
        <f>E19*D19</f>
        <v>5.5147118766659904E-2</v>
      </c>
      <c r="G19" s="225"/>
      <c r="H19" s="225"/>
      <c r="I19" s="213"/>
      <c r="J19" s="226"/>
      <c r="K19" s="230" t="s">
        <v>13</v>
      </c>
      <c r="L19" s="231">
        <f>R104</f>
        <v>2025</v>
      </c>
      <c r="M19" s="511">
        <f>SUM(P.001:P.035!N5)</f>
        <v>9807391.5524433423</v>
      </c>
      <c r="N19" s="511">
        <f>SUM(P.001:P.035!N6)</f>
        <v>9807391.5524433423</v>
      </c>
      <c r="O19" s="232">
        <f>+N19-M19</f>
        <v>0</v>
      </c>
      <c r="P19" s="226"/>
      <c r="Q19" s="1"/>
    </row>
    <row r="20" spans="3:17">
      <c r="C20" s="206"/>
      <c r="D20" s="207"/>
      <c r="E20" s="233" t="s">
        <v>14</v>
      </c>
      <c r="F20" s="220">
        <f>SUM(F17:F19)</f>
        <v>7.8546611596580593E-2</v>
      </c>
      <c r="G20" s="225"/>
      <c r="H20" s="225"/>
      <c r="I20" s="226"/>
      <c r="J20" s="226"/>
      <c r="M20" s="234" t="str">
        <f>IF(M19=SUM(P.001:P.035!N5),"","ERROR")</f>
        <v/>
      </c>
      <c r="N20" s="234" t="str">
        <f>IF(N19=SUM(P.001:P.035!N6),"","ERROR")</f>
        <v/>
      </c>
      <c r="O20" s="234" t="str">
        <f>IF(O19=SUM(P.001:P.035!N7),"","ERROR")</f>
        <v/>
      </c>
      <c r="P20" s="225"/>
      <c r="Q20" s="1"/>
    </row>
    <row r="21" spans="3:17">
      <c r="D21" s="235"/>
      <c r="E21" s="235"/>
      <c r="F21" s="225"/>
      <c r="G21" s="225"/>
      <c r="H21" s="225"/>
      <c r="I21" s="225"/>
      <c r="J21" s="225"/>
      <c r="K21" s="26" t="s">
        <v>15</v>
      </c>
      <c r="P21" s="225"/>
      <c r="Q21" s="1"/>
    </row>
    <row r="22" spans="3:17" ht="15.7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35"/>
      <c r="E22" s="235"/>
      <c r="F22" s="225"/>
      <c r="G22" s="225"/>
      <c r="H22" s="207"/>
      <c r="I22" s="225"/>
      <c r="J22" s="225"/>
      <c r="K22" t="s">
        <v>16</v>
      </c>
      <c r="P22" s="225"/>
      <c r="Q22" s="1"/>
    </row>
    <row r="23" spans="3:17">
      <c r="C23" s="211"/>
      <c r="D23" s="235"/>
      <c r="E23" s="235"/>
      <c r="F23" s="225"/>
      <c r="G23" s="225"/>
      <c r="H23" s="225"/>
      <c r="I23" s="225"/>
      <c r="J23" s="225"/>
      <c r="K23" s="226"/>
      <c r="L23" s="223"/>
      <c r="M23" s="199"/>
      <c r="N23" s="226"/>
      <c r="O23" s="225"/>
      <c r="P23" s="225"/>
      <c r="Q23" s="1"/>
    </row>
    <row r="24" spans="3:17">
      <c r="C24" s="206" t="str">
        <f>+S112</f>
        <v xml:space="preserve">   Rate Base  (TCOS, ln 62)</v>
      </c>
      <c r="D24" s="207"/>
      <c r="E24" s="236">
        <f>+R112</f>
        <v>805654260.96825445</v>
      </c>
      <c r="F24" s="237"/>
      <c r="G24" s="225"/>
      <c r="H24" s="225"/>
      <c r="I24" s="225"/>
      <c r="J24" s="225"/>
      <c r="K24" s="225"/>
      <c r="L24" s="225"/>
      <c r="M24" s="225"/>
      <c r="N24" s="225"/>
      <c r="O24" s="225"/>
      <c r="P24" s="237"/>
      <c r="Q24" s="1"/>
    </row>
    <row r="25" spans="3:17">
      <c r="C25" s="211" t="s">
        <v>17</v>
      </c>
      <c r="D25" s="209"/>
      <c r="E25" s="238">
        <f>F20</f>
        <v>7.8546611596580593E-2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1"/>
    </row>
    <row r="26" spans="3:17">
      <c r="C26" s="239" t="s">
        <v>18</v>
      </c>
      <c r="D26" s="239"/>
      <c r="E26" s="226">
        <f>E24*E25</f>
        <v>63281412.317403659</v>
      </c>
      <c r="F26" s="225"/>
      <c r="G26" s="225"/>
      <c r="H26" s="225"/>
      <c r="I26" s="226"/>
      <c r="J26" s="226"/>
      <c r="K26" s="226"/>
      <c r="L26" s="226"/>
      <c r="M26" s="225"/>
      <c r="N26" s="226"/>
      <c r="O26" s="225"/>
      <c r="P26" s="225"/>
      <c r="Q26" s="1"/>
    </row>
    <row r="27" spans="3:17">
      <c r="C27" s="239"/>
      <c r="D27" s="211"/>
      <c r="E27" s="211"/>
      <c r="F27" s="225"/>
      <c r="G27" s="225"/>
      <c r="H27" s="225"/>
      <c r="I27" s="226"/>
      <c r="J27" s="226"/>
      <c r="K27" s="226"/>
      <c r="L27" s="226"/>
      <c r="M27" s="225"/>
      <c r="N27" s="226"/>
      <c r="O27" s="225"/>
      <c r="P27" s="225"/>
      <c r="Q27" s="1"/>
    </row>
    <row r="28" spans="3:17" ht="15.7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40"/>
      <c r="E28" s="240"/>
      <c r="F28" s="241"/>
      <c r="G28" s="241"/>
      <c r="H28" s="241"/>
      <c r="I28" s="242"/>
      <c r="J28" s="242"/>
      <c r="K28" s="242"/>
      <c r="L28" s="242"/>
      <c r="M28" s="225"/>
      <c r="N28" s="242"/>
      <c r="O28" s="241"/>
      <c r="P28" s="241"/>
      <c r="Q28" s="1"/>
    </row>
    <row r="29" spans="3:17">
      <c r="C29" s="206"/>
      <c r="D29" s="211"/>
      <c r="E29" s="211"/>
      <c r="F29" s="225"/>
      <c r="G29" s="225"/>
      <c r="H29" s="225"/>
      <c r="I29" s="226"/>
      <c r="J29" s="226"/>
      <c r="K29" s="226"/>
      <c r="L29" s="226"/>
      <c r="M29" s="225"/>
      <c r="N29" s="226"/>
      <c r="O29" s="225"/>
      <c r="P29" s="225"/>
      <c r="Q29" s="1"/>
    </row>
    <row r="30" spans="3:17">
      <c r="C30" s="211" t="s">
        <v>19</v>
      </c>
      <c r="D30" s="233"/>
      <c r="E30" s="237">
        <f>E26</f>
        <v>63281412.317403659</v>
      </c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1"/>
    </row>
    <row r="31" spans="3:17">
      <c r="C31" s="206" t="str">
        <f>+S113</f>
        <v xml:space="preserve">   Tax Rate  (TCOS, ln 97)</v>
      </c>
      <c r="D31" s="233"/>
      <c r="E31" s="8">
        <f>+R113</f>
        <v>0.24025699999999994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1"/>
    </row>
    <row r="32" spans="3:17">
      <c r="C32" s="211" t="s">
        <v>20</v>
      </c>
      <c r="D32" s="2"/>
      <c r="E32" s="213">
        <f>IF(F17&gt;0,($E31/(1-$E31))*(1-$F17/$F20),0)</f>
        <v>0.22202644988722992</v>
      </c>
      <c r="F32" s="1"/>
      <c r="G32" s="213"/>
      <c r="H32" s="202"/>
      <c r="I32" s="1"/>
      <c r="J32" s="1"/>
      <c r="K32" s="1"/>
      <c r="L32" s="1"/>
      <c r="M32" s="1"/>
      <c r="N32" s="1"/>
      <c r="O32" s="1"/>
      <c r="P32" s="1"/>
      <c r="Q32" s="1"/>
    </row>
    <row r="33" spans="2:19">
      <c r="C33" s="239" t="s">
        <v>21</v>
      </c>
      <c r="D33" s="2"/>
      <c r="E33" s="243">
        <f>E30*E32</f>
        <v>14050147.320683157</v>
      </c>
      <c r="F33" s="243"/>
      <c r="G33" s="1"/>
      <c r="H33" s="202"/>
      <c r="I33" s="1"/>
      <c r="J33" s="1"/>
      <c r="K33" s="1"/>
      <c r="L33" s="1"/>
      <c r="M33" s="1"/>
      <c r="N33" s="1"/>
      <c r="O33" s="1"/>
      <c r="P33" s="1"/>
      <c r="Q33" s="1"/>
    </row>
    <row r="34" spans="2:19" ht="15">
      <c r="C34" s="206" t="str">
        <f>+S114</f>
        <v xml:space="preserve">   ITC Adjustment  (TCOS, ln 106)</v>
      </c>
      <c r="D34" s="244"/>
      <c r="E34" s="225">
        <f>+R114</f>
        <v>184380.19158601342</v>
      </c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5"/>
      <c r="Q34" s="244"/>
    </row>
    <row r="35" spans="2:19" ht="15">
      <c r="C35" s="206" t="str">
        <f>+S115</f>
        <v xml:space="preserve">   Excess DFIT Adjustment  (TCOS, ln 107)</v>
      </c>
      <c r="D35" s="244"/>
      <c r="E35" s="225">
        <f>+R115</f>
        <v>-1612729.0617679819</v>
      </c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5"/>
      <c r="Q35" s="244"/>
    </row>
    <row r="36" spans="2:19" ht="15">
      <c r="C36" s="206" t="str">
        <f>+S116</f>
        <v xml:space="preserve">   Tax Effect of Permanent and Flow Through Differences  (TCOS, ln 108)</v>
      </c>
      <c r="D36" s="244"/>
      <c r="E36" s="225">
        <f>+R116</f>
        <v>91367.572056314064</v>
      </c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5"/>
      <c r="Q36" s="244"/>
    </row>
    <row r="37" spans="2:19" ht="15">
      <c r="C37" s="239" t="s">
        <v>22</v>
      </c>
      <c r="D37" s="244"/>
      <c r="E37" s="225">
        <f>E33+E34+E35+E36</f>
        <v>12713166.022557503</v>
      </c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6"/>
      <c r="Q37" s="244"/>
    </row>
    <row r="38" spans="2:19" ht="12.75" customHeight="1">
      <c r="C38" s="247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6"/>
      <c r="Q38" s="244"/>
      <c r="R38" s="1"/>
      <c r="S38" s="1"/>
    </row>
    <row r="39" spans="2:19" ht="18.75">
      <c r="B39" s="4" t="s">
        <v>23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6"/>
      <c r="Q39" s="244"/>
      <c r="R39" s="1"/>
      <c r="S39" s="1"/>
    </row>
    <row r="40" spans="2:19" ht="15.75" customHeight="1">
      <c r="B40" s="4"/>
      <c r="C40" s="10" t="str">
        <f>"ROE increase."</f>
        <v>ROE increase.</v>
      </c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6"/>
      <c r="Q40" s="244"/>
      <c r="R40" s="1"/>
      <c r="S40" s="1"/>
    </row>
    <row r="41" spans="2:19" ht="12.75" customHeight="1">
      <c r="C41" s="247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6"/>
      <c r="Q41" s="244"/>
      <c r="R41" s="1"/>
      <c r="S41" s="1"/>
    </row>
    <row r="42" spans="2:19" ht="15.75">
      <c r="C42" s="6" t="s">
        <v>24</v>
      </c>
      <c r="D42" s="244"/>
      <c r="E42" s="244"/>
      <c r="F42" s="247"/>
      <c r="G42" s="244"/>
      <c r="H42" s="244"/>
      <c r="I42" s="244"/>
      <c r="J42" s="244"/>
      <c r="K42" s="244"/>
      <c r="L42" s="244"/>
      <c r="M42" s="244"/>
      <c r="N42" s="244"/>
      <c r="O42" s="244"/>
      <c r="P42" s="246"/>
      <c r="Q42" s="244"/>
      <c r="R42" s="1"/>
      <c r="S42" s="1"/>
    </row>
    <row r="43" spans="2:19">
      <c r="B43" s="1"/>
      <c r="C43" s="206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25"/>
      <c r="Q43" s="207"/>
      <c r="R43" s="1"/>
      <c r="S43" s="1"/>
    </row>
    <row r="44" spans="2:19" ht="12.75" customHeight="1">
      <c r="B44" s="1"/>
      <c r="C44" s="206" t="str">
        <f>+S117</f>
        <v xml:space="preserve">   Net Revenue Requirement  (TCOS, ln 115)</v>
      </c>
      <c r="D44" s="207"/>
      <c r="E44" s="207"/>
      <c r="F44" s="225">
        <f>+R117</f>
        <v>133170440.82148552</v>
      </c>
      <c r="G44" s="207"/>
      <c r="H44" s="207"/>
      <c r="I44" s="207"/>
      <c r="J44" s="207"/>
      <c r="K44" s="207"/>
      <c r="L44" s="207"/>
      <c r="M44" s="207"/>
      <c r="N44" s="207"/>
      <c r="O44" s="207"/>
      <c r="P44" s="225"/>
      <c r="Q44" s="207"/>
      <c r="R44" s="1"/>
      <c r="S44" s="1"/>
    </row>
    <row r="45" spans="2:19">
      <c r="B45" s="1"/>
      <c r="C45" s="206" t="str">
        <f>+S118</f>
        <v xml:space="preserve">   Return  (TCOS, ln 110)</v>
      </c>
      <c r="D45" s="207"/>
      <c r="E45" s="207"/>
      <c r="F45" s="226">
        <f>+R118</f>
        <v>60504567.86649853</v>
      </c>
      <c r="G45" s="206"/>
      <c r="H45" s="206"/>
      <c r="I45" s="206"/>
      <c r="J45" s="206"/>
      <c r="K45" s="206"/>
      <c r="L45" s="206"/>
      <c r="M45" s="206"/>
      <c r="N45" s="206"/>
      <c r="O45" s="206"/>
      <c r="P45" s="225"/>
      <c r="Q45" s="207"/>
      <c r="R45" s="1"/>
      <c r="S45" s="1"/>
    </row>
    <row r="46" spans="2:19">
      <c r="B46" s="1"/>
      <c r="C46" s="206" t="str">
        <f>+S119</f>
        <v xml:space="preserve">   Income Taxes  (TCOS, ln 109)</v>
      </c>
      <c r="D46" s="207"/>
      <c r="E46" s="207"/>
      <c r="F46" s="225">
        <f>+R119</f>
        <v>11835031.815014802</v>
      </c>
      <c r="G46" s="207"/>
      <c r="H46" s="207"/>
      <c r="I46" s="248"/>
      <c r="J46" s="248"/>
      <c r="K46" s="248"/>
      <c r="L46" s="248"/>
      <c r="M46" s="248"/>
      <c r="N46" s="248"/>
      <c r="O46" s="207"/>
      <c r="P46" s="207"/>
      <c r="Q46" s="207"/>
      <c r="R46" s="1"/>
      <c r="S46" s="1"/>
    </row>
    <row r="47" spans="2:19">
      <c r="B47" s="1"/>
      <c r="C47" s="206" t="str">
        <f>+S120</f>
        <v xml:space="preserve">  Gross Margin Taxes  (TCOS, ln 114)</v>
      </c>
      <c r="D47" s="207"/>
      <c r="E47" s="207"/>
      <c r="F47" s="249">
        <f>+R120</f>
        <v>0</v>
      </c>
      <c r="G47" s="207"/>
      <c r="H47" s="207"/>
      <c r="I47" s="248"/>
      <c r="J47" s="248"/>
      <c r="K47" s="248"/>
      <c r="L47" s="248"/>
      <c r="M47" s="248"/>
      <c r="N47" s="248"/>
      <c r="O47" s="207"/>
      <c r="P47" s="207"/>
      <c r="Q47" s="207"/>
      <c r="R47" s="1"/>
      <c r="S47" s="1"/>
    </row>
    <row r="48" spans="2:19">
      <c r="B48" s="1"/>
      <c r="C48" s="1" t="s">
        <v>25</v>
      </c>
      <c r="D48" s="207"/>
      <c r="E48" s="207"/>
      <c r="F48" s="226">
        <f>F44-F45-F46-F47</f>
        <v>60830841.139972188</v>
      </c>
      <c r="G48" s="223"/>
      <c r="H48" s="207"/>
      <c r="I48" s="223"/>
      <c r="J48" s="223"/>
      <c r="K48" s="223"/>
      <c r="L48" s="223"/>
      <c r="M48" s="223"/>
      <c r="N48" s="223"/>
      <c r="O48" s="207"/>
      <c r="P48" s="223"/>
      <c r="Q48" s="207"/>
      <c r="R48" s="1"/>
      <c r="S48" s="1"/>
    </row>
    <row r="49" spans="2:19">
      <c r="B49" s="1"/>
      <c r="C49" s="206"/>
      <c r="D49" s="207"/>
      <c r="E49" s="207"/>
      <c r="F49" s="225"/>
      <c r="G49" s="208"/>
      <c r="H49" s="220"/>
      <c r="I49" s="220"/>
      <c r="J49" s="220"/>
      <c r="K49" s="220"/>
      <c r="L49" s="220"/>
      <c r="M49" s="220"/>
      <c r="N49" s="220"/>
      <c r="O49" s="211"/>
      <c r="P49" s="220"/>
      <c r="Q49" s="250"/>
      <c r="R49" s="1"/>
      <c r="S49" s="1"/>
    </row>
    <row r="50" spans="2:19" ht="15.7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11"/>
      <c r="E50" s="211"/>
      <c r="F50" s="225"/>
      <c r="G50" s="208"/>
      <c r="H50" s="220"/>
      <c r="I50" s="220"/>
      <c r="J50" s="220"/>
      <c r="K50" s="220"/>
      <c r="L50" s="220"/>
      <c r="M50" s="220"/>
      <c r="N50" s="220"/>
      <c r="O50" s="211"/>
      <c r="P50" s="220"/>
      <c r="Q50" s="207"/>
    </row>
    <row r="51" spans="2:19">
      <c r="B51" s="1"/>
      <c r="C51" s="206"/>
      <c r="D51" s="211"/>
      <c r="E51" s="211"/>
      <c r="F51" s="225"/>
      <c r="G51" s="208"/>
      <c r="H51" s="220"/>
      <c r="I51" s="220"/>
      <c r="J51" s="220"/>
      <c r="K51" s="220"/>
      <c r="L51" s="220"/>
      <c r="M51" s="220"/>
      <c r="N51" s="220"/>
      <c r="O51" s="211"/>
      <c r="P51" s="220"/>
      <c r="Q51" s="207"/>
    </row>
    <row r="52" spans="2:19">
      <c r="B52" s="1"/>
      <c r="C52" s="206" t="str">
        <f>C48</f>
        <v xml:space="preserve">   Net Revenue Requirement, Less Return and Taxes</v>
      </c>
      <c r="D52" s="211"/>
      <c r="E52" s="211"/>
      <c r="F52" s="225">
        <f>F48</f>
        <v>60830841.139972188</v>
      </c>
      <c r="G52" s="207"/>
      <c r="H52" s="207"/>
      <c r="I52" s="207"/>
      <c r="J52" s="207"/>
      <c r="K52" s="207"/>
      <c r="L52" s="207"/>
      <c r="M52" s="207"/>
      <c r="N52" s="207"/>
      <c r="O52" s="251"/>
      <c r="P52" s="252"/>
      <c r="Q52" s="253"/>
    </row>
    <row r="53" spans="2:19">
      <c r="B53" s="1"/>
      <c r="C53" s="211" t="s">
        <v>103</v>
      </c>
      <c r="D53" s="2"/>
      <c r="E53" s="1"/>
      <c r="F53" s="243">
        <f>E26</f>
        <v>63281412.317403659</v>
      </c>
      <c r="G53" s="1"/>
      <c r="H53" s="254"/>
      <c r="I53" s="1"/>
      <c r="J53" s="1"/>
      <c r="K53" s="1"/>
      <c r="L53" s="1"/>
      <c r="M53" s="1"/>
      <c r="N53" s="1"/>
      <c r="O53" s="1"/>
      <c r="P53" s="1"/>
      <c r="Q53" s="1"/>
    </row>
    <row r="54" spans="2:19" ht="12.75" customHeight="1">
      <c r="B54" s="1"/>
      <c r="C54" s="206" t="s">
        <v>26</v>
      </c>
      <c r="D54" s="207"/>
      <c r="E54" s="207"/>
      <c r="F54" s="255">
        <f>E37</f>
        <v>12713166.022557503</v>
      </c>
      <c r="G54" s="1"/>
      <c r="H54" s="202"/>
      <c r="I54" s="1"/>
      <c r="J54" s="1"/>
      <c r="K54" s="1"/>
      <c r="L54" s="1"/>
      <c r="M54" s="1"/>
      <c r="N54" s="1"/>
      <c r="O54" s="1"/>
      <c r="P54" s="1"/>
      <c r="Q54" s="1"/>
    </row>
    <row r="55" spans="2:19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43">
        <f>SUM(F52:F54)</f>
        <v>136825419.47993335</v>
      </c>
      <c r="G55" s="1"/>
      <c r="H55" s="202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19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56">
        <f>+F71</f>
        <v>0</v>
      </c>
      <c r="G56" s="1"/>
      <c r="H56" s="202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19">
      <c r="B57" s="1"/>
      <c r="C57" s="1" t="s">
        <v>27</v>
      </c>
      <c r="D57" s="2"/>
      <c r="E57" s="1"/>
      <c r="F57" s="243">
        <f>+F55+F56</f>
        <v>136825419.47993335</v>
      </c>
      <c r="G57" s="1"/>
      <c r="H57" s="202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19">
      <c r="B58" s="1"/>
      <c r="C58" s="206" t="str">
        <f>+S121</f>
        <v xml:space="preserve">   Less: Depreciation  (TCOS, ln 84)</v>
      </c>
      <c r="D58" s="2"/>
      <c r="E58" s="1"/>
      <c r="F58" s="257">
        <f>+R121</f>
        <v>29954765.501752362</v>
      </c>
      <c r="G58" s="1"/>
      <c r="H58" s="202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19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43">
        <f>F57-F58</f>
        <v>106870653.97818099</v>
      </c>
      <c r="G59" s="1"/>
      <c r="H59" s="202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19">
      <c r="B60" s="1"/>
      <c r="C60" s="1"/>
      <c r="D60" s="2"/>
      <c r="E60" s="1"/>
      <c r="F60" s="1"/>
      <c r="G60" s="1"/>
      <c r="H60" s="202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2:19" ht="15.7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43"/>
      <c r="G61" s="1"/>
      <c r="H61" s="258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19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43">
        <f>+F55</f>
        <v>136825419.47993335</v>
      </c>
      <c r="G62" s="1"/>
      <c r="H62" s="258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19">
      <c r="B63" s="1"/>
      <c r="C63" s="1" t="s">
        <v>28</v>
      </c>
      <c r="F63" s="243"/>
      <c r="G63" s="1"/>
      <c r="H63" s="258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19">
      <c r="B64" s="1"/>
      <c r="C64" s="1" t="str">
        <f>+S122</f>
        <v xml:space="preserve">       Apportionment Factor to Texas (Worksheet K, ln 12)</v>
      </c>
      <c r="D64" s="2"/>
      <c r="E64" s="1"/>
      <c r="F64" s="259">
        <f>+R122</f>
        <v>0</v>
      </c>
      <c r="G64" s="1"/>
      <c r="H64" s="258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>
      <c r="B65" s="1"/>
      <c r="C65" s="1" t="s">
        <v>29</v>
      </c>
      <c r="D65" s="2"/>
      <c r="E65" s="1"/>
      <c r="F65" s="243">
        <f>+F62*F64</f>
        <v>0</v>
      </c>
      <c r="G65" s="1"/>
      <c r="H65" s="25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>
      <c r="B66" s="1"/>
      <c r="C66" s="1" t="s">
        <v>283</v>
      </c>
      <c r="D66" s="2"/>
      <c r="E66" s="1"/>
      <c r="F66" s="260">
        <v>0.22</v>
      </c>
      <c r="G66" s="1"/>
      <c r="H66" s="258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>
      <c r="B67" s="1"/>
      <c r="C67" s="1" t="s">
        <v>30</v>
      </c>
      <c r="D67" s="2"/>
      <c r="E67" s="1"/>
      <c r="F67" s="243">
        <f>+F65*F66</f>
        <v>0</v>
      </c>
      <c r="G67" s="1"/>
      <c r="H67" s="258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>
      <c r="B68" s="1"/>
      <c r="C68" s="1" t="s">
        <v>31</v>
      </c>
      <c r="D68" s="2"/>
      <c r="E68" s="1"/>
      <c r="F68" s="260">
        <v>0.01</v>
      </c>
      <c r="G68" s="1"/>
      <c r="H68" s="258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>
      <c r="B69" s="1"/>
      <c r="C69" s="1" t="s">
        <v>32</v>
      </c>
      <c r="D69" s="2"/>
      <c r="E69" s="1"/>
      <c r="F69" s="243">
        <f>+F67*F68</f>
        <v>0</v>
      </c>
      <c r="G69" s="1"/>
      <c r="H69" s="258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>
      <c r="B70" s="1"/>
      <c r="C70" s="1" t="s">
        <v>33</v>
      </c>
      <c r="D70" s="2"/>
      <c r="E70" s="1"/>
      <c r="F70" s="261">
        <f>+ROUND((F69*F66*F64)/(1-F68)*F68,0)</f>
        <v>0</v>
      </c>
      <c r="G70" s="1"/>
      <c r="H70" s="258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>
      <c r="B71" s="1"/>
      <c r="C71" s="1" t="s">
        <v>34</v>
      </c>
      <c r="D71" s="2"/>
      <c r="E71" s="1"/>
      <c r="F71" s="243">
        <f>+F69+F70</f>
        <v>0</v>
      </c>
      <c r="G71" s="1"/>
      <c r="H71" s="258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>
      <c r="B72" s="1"/>
      <c r="C72" s="1"/>
      <c r="D72" s="2"/>
      <c r="E72" s="1"/>
      <c r="F72" s="1"/>
      <c r="G72" s="1"/>
      <c r="H72" s="202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7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202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>
      <c r="B74" s="1"/>
      <c r="C74" s="1"/>
      <c r="D74" s="2"/>
      <c r="E74" s="1"/>
      <c r="F74" s="1"/>
      <c r="G74" s="1"/>
      <c r="H74" s="202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>
      <c r="B75" s="1"/>
      <c r="C75" s="206" t="str">
        <f>+S123</f>
        <v xml:space="preserve">   Net Transmission Plant  (TCOS, ln 37)</v>
      </c>
      <c r="D75" s="2"/>
      <c r="E75" s="1"/>
      <c r="F75" s="243">
        <f>+R123</f>
        <v>908536752.73608339</v>
      </c>
      <c r="G75" s="204"/>
      <c r="H75" s="183"/>
      <c r="P75" s="1"/>
      <c r="Q75" s="1"/>
      <c r="R75" s="1"/>
      <c r="S75" s="1"/>
    </row>
    <row r="76" spans="2:19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256">
        <f>F55</f>
        <v>136825419.47993335</v>
      </c>
      <c r="H76" s="183"/>
      <c r="P76" s="1"/>
      <c r="Q76" s="1"/>
      <c r="R76" s="1"/>
      <c r="S76" s="1"/>
    </row>
    <row r="77" spans="2:19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0.15059976282509194</v>
      </c>
      <c r="H77" s="183"/>
      <c r="P77" s="1"/>
      <c r="Q77" s="1"/>
      <c r="R77" s="1"/>
      <c r="S77" s="1"/>
    </row>
    <row r="78" spans="2:19">
      <c r="B78" s="1"/>
      <c r="D78" s="2"/>
      <c r="E78" s="1"/>
      <c r="F78" s="1"/>
      <c r="H78" s="183"/>
      <c r="P78" s="1"/>
      <c r="Q78" s="1"/>
      <c r="R78" s="1"/>
      <c r="S78" s="1"/>
    </row>
    <row r="79" spans="2:19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43">
        <f>F59</f>
        <v>106870653.97818099</v>
      </c>
      <c r="G79" s="204"/>
      <c r="H79" s="183"/>
      <c r="P79" s="1"/>
      <c r="Q79" s="1"/>
      <c r="R79" s="1"/>
      <c r="S79" s="1"/>
    </row>
    <row r="80" spans="2:19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</f>
        <v>0.11762942297748229</v>
      </c>
      <c r="G80" s="8"/>
      <c r="H80" s="183"/>
      <c r="P80" s="1"/>
      <c r="Q80" s="1"/>
      <c r="R80" s="1"/>
      <c r="S80" s="1"/>
    </row>
    <row r="81" spans="2:19">
      <c r="B81" s="1"/>
      <c r="C81" s="206" t="str">
        <f>+S124</f>
        <v xml:space="preserve">   FCR less Depreciation  (Projected TCOS, ln 12)</v>
      </c>
      <c r="D81" s="2"/>
      <c r="E81" s="1"/>
      <c r="F81" s="262">
        <f>+R124</f>
        <v>0.11360649418848089</v>
      </c>
      <c r="H81" s="183"/>
      <c r="P81" s="1"/>
      <c r="Q81" s="1"/>
      <c r="R81" s="1"/>
      <c r="S81" s="1"/>
    </row>
    <row r="82" spans="2:19">
      <c r="B82" s="1"/>
      <c r="C82" s="532" t="str">
        <f>"   Incremental FCR with "&amp;F13&amp;" Basis Point ROE increase, less Depreciation"</f>
        <v xml:space="preserve">   Incremental FCR with 0 Basis Point ROE increase, less Depreciation</v>
      </c>
      <c r="D82" s="536"/>
      <c r="E82" s="536"/>
      <c r="F82" s="8">
        <f>F80-F81</f>
        <v>4.0229287890014009E-3</v>
      </c>
      <c r="H82" s="183"/>
      <c r="P82" s="1"/>
      <c r="Q82" s="1"/>
      <c r="R82" s="1"/>
      <c r="S82" s="1"/>
    </row>
    <row r="83" spans="2:19">
      <c r="B83" s="1"/>
      <c r="C83" s="536"/>
      <c r="D83" s="536"/>
      <c r="E83" s="536"/>
      <c r="F83" s="8"/>
      <c r="G83" s="1"/>
      <c r="H83" s="202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.75">
      <c r="B84" s="4" t="s">
        <v>35</v>
      </c>
      <c r="C84" s="10" t="s">
        <v>36</v>
      </c>
      <c r="D84" s="2"/>
      <c r="E84" s="1"/>
      <c r="F84" s="8"/>
      <c r="G84" s="1"/>
      <c r="H84" s="202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1"/>
      <c r="H85" s="20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37</v>
      </c>
      <c r="D86" s="2"/>
      <c r="F86" s="258">
        <f>+R125</f>
        <v>1345374763.3571501</v>
      </c>
      <c r="G86" s="1" t="s">
        <v>278</v>
      </c>
      <c r="H86" s="20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38</v>
      </c>
      <c r="D87" s="2"/>
      <c r="F87" s="263">
        <f>R126</f>
        <v>1433383999.2885499</v>
      </c>
      <c r="G87" s="1" t="s">
        <v>278</v>
      </c>
      <c r="H87" s="20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>
      <c r="B88" s="1"/>
      <c r="C88" s="1"/>
      <c r="D88" s="2"/>
      <c r="F88" s="202">
        <f>+F87+F86</f>
        <v>2778758762.6457</v>
      </c>
      <c r="G88" s="243"/>
      <c r="H88" s="202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>
      <c r="B89" s="1"/>
      <c r="C89" s="1" t="str">
        <f>S127</f>
        <v>Transmission Plant Average Balance for 2020</v>
      </c>
      <c r="D89" s="2"/>
      <c r="F89" s="254">
        <f>+F88/2</f>
        <v>1389379381.32285</v>
      </c>
      <c r="G89" s="264"/>
      <c r="H89" s="202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>
      <c r="B90" s="1"/>
      <c r="C90" s="206" t="str">
        <f>S128</f>
        <v>Annual Depreciation Expense  (Historic TCOS, ln 244)</v>
      </c>
      <c r="D90" s="2"/>
      <c r="E90" s="1"/>
      <c r="F90" s="254">
        <f>R128</f>
        <v>36530601.673561603</v>
      </c>
      <c r="G90" s="1"/>
      <c r="H90" s="202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>
      <c r="B91" s="1"/>
      <c r="C91" s="1" t="s">
        <v>39</v>
      </c>
      <c r="D91" s="2"/>
      <c r="E91" s="1"/>
      <c r="F91" s="8">
        <f>IF(F89=0,0,F90/F89)</f>
        <v>2.6292747801381824E-2</v>
      </c>
      <c r="G91" s="1"/>
      <c r="H91" s="26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>
      <c r="B92" s="1"/>
      <c r="C92" s="1" t="s">
        <v>40</v>
      </c>
      <c r="D92" s="2"/>
      <c r="E92" s="1"/>
      <c r="F92" s="265">
        <f>IF(F91=0,0,1/F91)</f>
        <v>38.033301332903847</v>
      </c>
      <c r="H92" s="202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>
      <c r="B93" s="1"/>
      <c r="C93" s="1" t="s">
        <v>41</v>
      </c>
      <c r="D93" s="2"/>
      <c r="E93" s="1"/>
      <c r="F93" s="12">
        <f>ROUND(F92,0)</f>
        <v>38</v>
      </c>
      <c r="G93" s="1"/>
      <c r="H93" s="20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>
      <c r="C94" s="2"/>
      <c r="D94" s="12"/>
      <c r="E94" s="12"/>
      <c r="F94" s="12"/>
      <c r="G94" s="266"/>
      <c r="H94" s="266"/>
      <c r="I94" s="63"/>
      <c r="J94" s="63"/>
      <c r="K94" s="63"/>
      <c r="L94" s="63"/>
      <c r="M94" s="63"/>
      <c r="N94" s="63"/>
      <c r="O94" s="1"/>
      <c r="P94" s="1"/>
      <c r="Q94" s="1"/>
      <c r="R94" s="1"/>
      <c r="S94" s="1"/>
    </row>
    <row r="95" spans="2:19">
      <c r="C95" s="2"/>
      <c r="D95" s="12"/>
      <c r="E95" s="12"/>
      <c r="F95" s="12"/>
      <c r="G95" s="266"/>
      <c r="H95" s="266"/>
      <c r="I95" s="63"/>
      <c r="J95" s="63"/>
      <c r="K95" s="63"/>
      <c r="L95" s="63"/>
      <c r="M95" s="63"/>
      <c r="N95" s="63"/>
      <c r="O95" s="1"/>
      <c r="P95" s="1"/>
      <c r="Q95" s="1"/>
      <c r="R95" s="1"/>
      <c r="S95" s="1"/>
    </row>
    <row r="96" spans="2:19">
      <c r="P96" s="1"/>
      <c r="Q96" s="1"/>
      <c r="R96" s="1"/>
      <c r="S96" s="1"/>
    </row>
    <row r="97" spans="3:19">
      <c r="P97" s="1"/>
      <c r="Q97" s="1"/>
      <c r="R97" s="267" t="s">
        <v>126</v>
      </c>
      <c r="S97" t="s">
        <v>127</v>
      </c>
    </row>
    <row r="98" spans="3:19">
      <c r="P98" s="1"/>
      <c r="Q98" s="1"/>
    </row>
    <row r="99" spans="3:19">
      <c r="C99" s="91" t="s">
        <v>122</v>
      </c>
      <c r="L99" s="91" t="s">
        <v>121</v>
      </c>
      <c r="P99" s="1"/>
      <c r="Q99" s="1"/>
    </row>
    <row r="100" spans="3:19">
      <c r="P100" s="1"/>
      <c r="Q100" s="1"/>
      <c r="S100" s="196" t="s">
        <v>119</v>
      </c>
    </row>
    <row r="101" spans="3:19">
      <c r="P101" s="1"/>
      <c r="Q101" s="1"/>
      <c r="R101" s="267" t="s">
        <v>115</v>
      </c>
      <c r="S101" s="170" t="s">
        <v>120</v>
      </c>
    </row>
    <row r="102" spans="3:19" ht="13.5" thickBot="1">
      <c r="P102" s="1"/>
      <c r="Q102" s="1"/>
      <c r="R102" s="268" t="s">
        <v>142</v>
      </c>
    </row>
    <row r="103" spans="3:19">
      <c r="P103" s="1"/>
      <c r="Q103" s="1"/>
      <c r="R103" s="269" t="s">
        <v>284</v>
      </c>
      <c r="S103" s="270" t="s">
        <v>143</v>
      </c>
    </row>
    <row r="104" spans="3:19">
      <c r="P104" s="1"/>
      <c r="Q104" s="1"/>
      <c r="R104" s="271">
        <v>2025</v>
      </c>
      <c r="S104" s="272" t="s">
        <v>13</v>
      </c>
    </row>
    <row r="105" spans="3:19">
      <c r="P105" s="1"/>
      <c r="Q105" s="1"/>
      <c r="R105" s="522">
        <v>0.105</v>
      </c>
      <c r="S105" s="272" t="s">
        <v>307</v>
      </c>
    </row>
    <row r="106" spans="3:19">
      <c r="P106" s="1"/>
      <c r="Q106" s="1"/>
      <c r="R106" s="273">
        <v>0</v>
      </c>
      <c r="S106" s="272" t="s">
        <v>1</v>
      </c>
    </row>
    <row r="107" spans="3:19">
      <c r="P107" s="1"/>
      <c r="Q107" s="1"/>
      <c r="R107" s="274">
        <v>0.50761501101196504</v>
      </c>
      <c r="S107" s="275" t="s">
        <v>109</v>
      </c>
    </row>
    <row r="108" spans="3:19">
      <c r="P108" s="1"/>
      <c r="Q108" s="1"/>
      <c r="R108" s="274">
        <v>4.6096928424697696E-2</v>
      </c>
      <c r="S108" s="275" t="s">
        <v>110</v>
      </c>
    </row>
    <row r="109" spans="3:19">
      <c r="P109" s="1"/>
      <c r="Q109" s="1"/>
      <c r="R109" s="274">
        <v>0</v>
      </c>
      <c r="S109" s="275" t="s">
        <v>111</v>
      </c>
    </row>
    <row r="110" spans="3:19">
      <c r="P110" s="1"/>
      <c r="Q110" s="1"/>
      <c r="R110" s="274">
        <v>0</v>
      </c>
      <c r="S110" s="275" t="s">
        <v>112</v>
      </c>
    </row>
    <row r="111" spans="3:19">
      <c r="P111" s="1"/>
      <c r="Q111" s="1"/>
      <c r="R111" s="274">
        <v>0.49238498898803484</v>
      </c>
      <c r="S111" s="276" t="s">
        <v>113</v>
      </c>
    </row>
    <row r="112" spans="3:19">
      <c r="P112" s="1"/>
      <c r="Q112" s="1"/>
      <c r="R112" s="277">
        <v>805654260.96825445</v>
      </c>
      <c r="S112" s="278" t="s">
        <v>314</v>
      </c>
    </row>
    <row r="113" spans="3:19">
      <c r="P113" s="1"/>
      <c r="Q113" s="1"/>
      <c r="R113" s="279">
        <v>0.24025699999999994</v>
      </c>
      <c r="S113" s="280" t="s">
        <v>315</v>
      </c>
    </row>
    <row r="114" spans="3:19">
      <c r="P114" s="1"/>
      <c r="Q114" s="1"/>
      <c r="R114" s="277">
        <v>184380.19158601342</v>
      </c>
      <c r="S114" s="280" t="s">
        <v>316</v>
      </c>
    </row>
    <row r="115" spans="3:19">
      <c r="P115" s="1"/>
      <c r="Q115" s="1"/>
      <c r="R115" s="277">
        <v>-1612729.0617679819</v>
      </c>
      <c r="S115" s="280" t="s">
        <v>317</v>
      </c>
    </row>
    <row r="116" spans="3:19">
      <c r="P116" s="1"/>
      <c r="Q116" s="1"/>
      <c r="R116" s="277">
        <v>91367.572056314064</v>
      </c>
      <c r="S116" s="280" t="s">
        <v>318</v>
      </c>
    </row>
    <row r="117" spans="3:19">
      <c r="C117" s="1"/>
      <c r="D117" s="2"/>
      <c r="E117" s="1"/>
      <c r="F117" s="1"/>
      <c r="G117" s="1"/>
      <c r="H117" s="202"/>
      <c r="I117" s="1"/>
      <c r="J117" s="1"/>
      <c r="K117" s="1"/>
      <c r="L117" s="1"/>
      <c r="M117" s="1"/>
      <c r="N117" s="1"/>
      <c r="O117" s="1"/>
      <c r="P117" s="1"/>
      <c r="Q117" s="1"/>
      <c r="R117" s="277">
        <v>133170440.82148552</v>
      </c>
      <c r="S117" s="280" t="s">
        <v>319</v>
      </c>
    </row>
    <row r="118" spans="3:19">
      <c r="C118" s="1"/>
      <c r="D118" s="2"/>
      <c r="E118" s="1"/>
      <c r="F118" s="1"/>
      <c r="G118" s="1"/>
      <c r="H118" s="202"/>
      <c r="I118" s="1"/>
      <c r="J118" s="1"/>
      <c r="K118" s="1"/>
      <c r="L118" s="1"/>
      <c r="M118" s="1"/>
      <c r="N118" s="1"/>
      <c r="O118" s="1"/>
      <c r="P118" s="1"/>
      <c r="Q118" s="1"/>
      <c r="R118" s="277">
        <v>60504567.86649853</v>
      </c>
      <c r="S118" s="280" t="s">
        <v>320</v>
      </c>
    </row>
    <row r="119" spans="3:19">
      <c r="C119" s="1"/>
      <c r="D119" s="2"/>
      <c r="E119" s="1"/>
      <c r="F119" s="1"/>
      <c r="G119" s="1"/>
      <c r="H119" s="202"/>
      <c r="I119" s="1"/>
      <c r="J119" s="1"/>
      <c r="K119" s="1"/>
      <c r="L119" s="1"/>
      <c r="M119" s="1"/>
      <c r="N119" s="1"/>
      <c r="O119" s="1"/>
      <c r="P119" s="1"/>
      <c r="Q119" s="1"/>
      <c r="R119" s="277">
        <v>11835031.815014802</v>
      </c>
      <c r="S119" s="280" t="s">
        <v>321</v>
      </c>
    </row>
    <row r="120" spans="3:19">
      <c r="C120" s="1"/>
      <c r="D120" s="2"/>
      <c r="E120" s="1"/>
      <c r="F120" s="1"/>
      <c r="G120" s="1"/>
      <c r="H120" s="202"/>
      <c r="I120" s="1"/>
      <c r="J120" s="1"/>
      <c r="K120" s="1"/>
      <c r="L120" s="1"/>
      <c r="M120" s="1"/>
      <c r="N120" s="1"/>
      <c r="O120" s="1"/>
      <c r="P120" s="1"/>
      <c r="Q120" s="1"/>
      <c r="R120" s="277">
        <v>0</v>
      </c>
      <c r="S120" s="280" t="s">
        <v>322</v>
      </c>
    </row>
    <row r="121" spans="3:19">
      <c r="C121" s="1"/>
      <c r="D121" s="2"/>
      <c r="E121" s="1"/>
      <c r="F121" s="1"/>
      <c r="G121" s="1"/>
      <c r="H121" s="202"/>
      <c r="I121" s="1"/>
      <c r="J121" s="1"/>
      <c r="K121" s="1"/>
      <c r="L121" s="1"/>
      <c r="M121" s="1"/>
      <c r="N121" s="1"/>
      <c r="O121" s="1"/>
      <c r="P121" s="1"/>
      <c r="Q121" s="1"/>
      <c r="R121" s="277">
        <v>29954765.501752362</v>
      </c>
      <c r="S121" s="280" t="s">
        <v>323</v>
      </c>
    </row>
    <row r="122" spans="3:19">
      <c r="C122" s="1"/>
      <c r="D122" s="2"/>
      <c r="E122" s="1"/>
      <c r="F122" s="1"/>
      <c r="G122" s="1"/>
      <c r="H122" s="202"/>
      <c r="I122" s="1"/>
      <c r="J122" s="1"/>
      <c r="K122" s="1"/>
      <c r="L122" s="1"/>
      <c r="M122" s="1"/>
      <c r="N122" s="1"/>
      <c r="O122" s="1"/>
      <c r="P122" s="1"/>
      <c r="Q122" s="1"/>
      <c r="R122" s="279">
        <v>0</v>
      </c>
      <c r="S122" s="280" t="s">
        <v>118</v>
      </c>
    </row>
    <row r="123" spans="3:19">
      <c r="C123" s="1"/>
      <c r="D123" s="2"/>
      <c r="E123" s="1"/>
      <c r="F123" s="1"/>
      <c r="G123" s="1"/>
      <c r="H123" s="202"/>
      <c r="I123" s="1"/>
      <c r="J123" s="1"/>
      <c r="K123" s="1"/>
      <c r="L123" s="1"/>
      <c r="M123" s="1"/>
      <c r="N123" s="1"/>
      <c r="O123" s="1"/>
      <c r="P123" s="1"/>
      <c r="Q123" s="1"/>
      <c r="R123" s="277">
        <v>908536752.73608339</v>
      </c>
      <c r="S123" s="280" t="s">
        <v>324</v>
      </c>
    </row>
    <row r="124" spans="3:19">
      <c r="C124" s="1"/>
      <c r="D124" s="2"/>
      <c r="E124" s="1"/>
      <c r="F124" s="1"/>
      <c r="G124" s="1"/>
      <c r="H124" s="202"/>
      <c r="I124" s="1"/>
      <c r="J124" s="1"/>
      <c r="K124" s="1"/>
      <c r="L124" s="1"/>
      <c r="M124" s="1"/>
      <c r="N124" s="1"/>
      <c r="O124" s="1"/>
      <c r="P124" s="1"/>
      <c r="Q124" s="1"/>
      <c r="R124" s="281">
        <v>0.11360649418848089</v>
      </c>
      <c r="S124" s="282" t="s">
        <v>285</v>
      </c>
    </row>
    <row r="125" spans="3:19">
      <c r="C125" s="1"/>
      <c r="D125" s="2"/>
      <c r="E125" s="1"/>
      <c r="F125" s="1"/>
      <c r="G125" s="1"/>
      <c r="H125" s="202"/>
      <c r="I125" s="1"/>
      <c r="J125" s="1"/>
      <c r="K125" s="1"/>
      <c r="L125" s="1"/>
      <c r="M125" s="1"/>
      <c r="N125" s="1"/>
      <c r="O125" s="1"/>
      <c r="P125" s="1"/>
      <c r="Q125" s="1"/>
      <c r="R125" s="283">
        <v>1345374763.3571501</v>
      </c>
      <c r="S125" s="275" t="s">
        <v>37</v>
      </c>
    </row>
    <row r="126" spans="3:19">
      <c r="C126" s="1"/>
      <c r="D126" s="2"/>
      <c r="E126" s="1"/>
      <c r="F126" s="1"/>
      <c r="G126" s="1"/>
      <c r="H126" s="202"/>
      <c r="I126" s="1"/>
      <c r="J126" s="1"/>
      <c r="K126" s="1"/>
      <c r="L126" s="1"/>
      <c r="M126" s="1"/>
      <c r="N126" s="1"/>
      <c r="O126" s="1"/>
      <c r="P126" s="1"/>
      <c r="Q126" s="1"/>
      <c r="R126" s="283">
        <v>1433383999.2885499</v>
      </c>
      <c r="S126" s="276" t="s">
        <v>38</v>
      </c>
    </row>
    <row r="127" spans="3:19">
      <c r="C127" s="1"/>
      <c r="D127" s="2"/>
      <c r="E127" s="1"/>
      <c r="F127" s="1"/>
      <c r="G127" s="1"/>
      <c r="H127" s="202"/>
      <c r="I127" s="1"/>
      <c r="J127" s="1"/>
      <c r="K127" s="1"/>
      <c r="L127" s="1"/>
      <c r="M127" s="1"/>
      <c r="N127" s="1"/>
      <c r="O127" s="1"/>
      <c r="P127" s="1"/>
      <c r="Q127" s="1"/>
      <c r="R127" s="283">
        <v>1388908743.4109271</v>
      </c>
      <c r="S127" s="284" t="s">
        <v>333</v>
      </c>
    </row>
    <row r="128" spans="3:19" ht="13.5" thickBot="1">
      <c r="C128" s="1"/>
      <c r="D128" s="2"/>
      <c r="E128" s="1"/>
      <c r="F128" s="1"/>
      <c r="G128" s="1"/>
      <c r="H128" s="202"/>
      <c r="I128" s="1"/>
      <c r="J128" s="1"/>
      <c r="K128" s="1"/>
      <c r="L128" s="1"/>
      <c r="M128" s="1"/>
      <c r="N128" s="1"/>
      <c r="O128" s="1"/>
      <c r="P128" s="1"/>
      <c r="Q128" s="1"/>
      <c r="R128" s="465">
        <v>36530601.673561603</v>
      </c>
      <c r="S128" s="285" t="s">
        <v>308</v>
      </c>
    </row>
    <row r="129" spans="3:19">
      <c r="C129" s="1"/>
      <c r="D129" s="2"/>
      <c r="E129" s="1"/>
      <c r="F129" s="1"/>
      <c r="G129" s="1"/>
      <c r="H129" s="202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3:19">
      <c r="C130" s="1"/>
      <c r="D130" s="2"/>
      <c r="E130" s="1"/>
      <c r="F130" s="1"/>
      <c r="G130" s="1"/>
      <c r="H130" s="202"/>
      <c r="I130" s="1"/>
      <c r="J130" s="1"/>
      <c r="K130" s="1"/>
      <c r="L130" s="1"/>
      <c r="M130" s="1"/>
      <c r="N130" s="1"/>
      <c r="O130" s="1"/>
      <c r="P130" s="1"/>
      <c r="Q130" s="1"/>
      <c r="R130" s="267" t="s">
        <v>116</v>
      </c>
      <c r="S130" s="1" t="s">
        <v>130</v>
      </c>
    </row>
    <row r="131" spans="3:19" ht="13.5" thickBot="1">
      <c r="C131" s="1"/>
      <c r="D131" s="2"/>
      <c r="E131" s="1"/>
      <c r="F131" s="1"/>
      <c r="G131" s="1"/>
      <c r="H131" s="254"/>
      <c r="I131" s="1"/>
      <c r="J131" s="1"/>
      <c r="K131" s="1"/>
      <c r="L131" s="1"/>
      <c r="M131" s="1"/>
      <c r="N131" s="1"/>
      <c r="O131" s="1"/>
      <c r="P131" s="1"/>
      <c r="Q131" s="1"/>
      <c r="R131" s="268" t="s">
        <v>114</v>
      </c>
      <c r="S131" s="1"/>
    </row>
    <row r="132" spans="3:19">
      <c r="C132" s="1"/>
      <c r="D132" s="2"/>
      <c r="E132" s="1"/>
      <c r="F132" s="1"/>
      <c r="G132" s="1"/>
      <c r="H132" s="254"/>
      <c r="I132" s="1"/>
      <c r="J132" s="1"/>
      <c r="K132" s="1"/>
      <c r="L132" s="1"/>
      <c r="M132" s="1"/>
      <c r="N132" s="1"/>
      <c r="O132" s="1"/>
      <c r="P132" s="1"/>
      <c r="Q132" s="1"/>
      <c r="R132" s="286">
        <f>M19</f>
        <v>9807391.5524433423</v>
      </c>
      <c r="S132" s="1" t="str">
        <f>+K19&amp;" "&amp;M17</f>
        <v>PROJECTED YEAR Rev Require</v>
      </c>
    </row>
    <row r="133" spans="3:19">
      <c r="C133" s="1"/>
      <c r="D133" s="2"/>
      <c r="E133" s="1"/>
      <c r="F133" s="1"/>
      <c r="G133" s="1"/>
      <c r="H133" s="254"/>
      <c r="I133" s="1"/>
      <c r="J133" s="1"/>
      <c r="K133" s="1"/>
      <c r="L133" s="1"/>
      <c r="M133" s="1"/>
      <c r="N133" s="1"/>
      <c r="O133" s="1"/>
      <c r="P133" s="1"/>
      <c r="Q133" s="1"/>
      <c r="R133" s="287">
        <f>N19</f>
        <v>9807391.5524433423</v>
      </c>
      <c r="S133" s="1" t="str">
        <f>K19&amp;" "&amp;N17</f>
        <v>PROJECTED YEAR  W Incentives</v>
      </c>
    </row>
    <row r="134" spans="3:19" ht="13.5" thickBot="1">
      <c r="C134" s="1"/>
      <c r="D134" s="2"/>
      <c r="E134" s="1"/>
      <c r="F134" s="1"/>
      <c r="G134" s="1"/>
      <c r="H134" s="254"/>
      <c r="I134" s="1"/>
      <c r="J134" s="1"/>
      <c r="K134" s="1"/>
      <c r="L134" s="1"/>
      <c r="M134" s="1"/>
      <c r="N134" s="1"/>
      <c r="O134" s="1"/>
      <c r="P134" s="1"/>
      <c r="Q134" s="1"/>
      <c r="R134" s="288">
        <v>0</v>
      </c>
      <c r="S134" s="1" t="str">
        <f>K19&amp;" "&amp;O17</f>
        <v>PROJECTED YEAR Incentive Amounts</v>
      </c>
    </row>
    <row r="135" spans="3:19">
      <c r="C135" s="1"/>
      <c r="D135" s="2"/>
      <c r="E135" s="1"/>
      <c r="F135" s="1"/>
      <c r="G135" s="1"/>
      <c r="H135" s="254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3:19" ht="12.75" customHeight="1">
      <c r="R136" s="1"/>
      <c r="S136" s="1"/>
    </row>
    <row r="137" spans="3:19" ht="12.75" customHeight="1">
      <c r="R137" s="267" t="s">
        <v>128</v>
      </c>
      <c r="S137" s="196" t="s">
        <v>129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PSO TCOS - WS F
Page: &amp;P of &amp;N
</oddHeader>
    <oddFooter xml:space="preserve">&amp;C &amp;R 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P162"/>
  <sheetViews>
    <sheetView topLeftCell="A85" zoomScaleNormal="100" zoomScaleSheetLayoutView="80" workbookViewId="0">
      <selection activeCell="K76" sqref="K76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17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190941.92552631578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190941.92552631578</v>
      </c>
      <c r="O6" s="1"/>
      <c r="P6" s="1"/>
    </row>
    <row r="7" spans="1:16" ht="13.5" thickBot="1">
      <c r="C7" s="26" t="s">
        <v>46</v>
      </c>
      <c r="D7" s="88" t="s">
        <v>262</v>
      </c>
      <c r="E7" s="426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286</v>
      </c>
      <c r="E9" s="404" t="s">
        <v>287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1692023.1700000002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2015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44526.92552631579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2015</v>
      </c>
      <c r="D17" s="411">
        <v>1500000</v>
      </c>
      <c r="E17" s="432">
        <v>0</v>
      </c>
      <c r="F17" s="411">
        <v>1500000</v>
      </c>
      <c r="G17" s="432">
        <v>206807.48514960654</v>
      </c>
      <c r="H17" s="414">
        <v>206807.48514960654</v>
      </c>
      <c r="I17" s="52">
        <v>0</v>
      </c>
      <c r="J17" s="52"/>
      <c r="K17" s="350">
        <f t="shared" ref="K17:K22" si="0">G17</f>
        <v>206807.48514960654</v>
      </c>
      <c r="L17" s="63">
        <f t="shared" ref="L17:L22" si="1">IF(K17&lt;&gt;0,+G17-K17,0)</f>
        <v>0</v>
      </c>
      <c r="M17" s="350">
        <f t="shared" ref="M17:M22" si="2">H17</f>
        <v>206807.48514960654</v>
      </c>
      <c r="N17" s="54">
        <f>IF(M17&lt;&gt;0,+H17-M17,0)</f>
        <v>0</v>
      </c>
      <c r="O17" s="52">
        <f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2016</v>
      </c>
      <c r="D18" s="411">
        <v>1777912</v>
      </c>
      <c r="E18" s="412">
        <v>34190.615384615383</v>
      </c>
      <c r="F18" s="411">
        <v>1743721.3846153845</v>
      </c>
      <c r="G18" s="412">
        <v>262896.61538461538</v>
      </c>
      <c r="H18" s="414">
        <v>262896.61538461538</v>
      </c>
      <c r="I18" s="52">
        <f>H18-G18</f>
        <v>0</v>
      </c>
      <c r="J18" s="52"/>
      <c r="K18" s="350">
        <f t="shared" si="0"/>
        <v>262896.61538461538</v>
      </c>
      <c r="L18" s="63">
        <f t="shared" si="1"/>
        <v>0</v>
      </c>
      <c r="M18" s="350">
        <f t="shared" si="2"/>
        <v>262896.61538461538</v>
      </c>
      <c r="N18" s="54">
        <f>IF(M18&lt;&gt;0,+H18-M18,0)</f>
        <v>0</v>
      </c>
      <c r="O18" s="52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2017</v>
      </c>
      <c r="D19" s="411">
        <v>1657832.3846153845</v>
      </c>
      <c r="E19" s="412">
        <v>36783.108695652176</v>
      </c>
      <c r="F19" s="411">
        <v>1621049.2759197324</v>
      </c>
      <c r="G19" s="412">
        <v>243079.10869565216</v>
      </c>
      <c r="H19" s="414">
        <v>243079.10869565216</v>
      </c>
      <c r="I19" s="52">
        <f t="shared" ref="I19:I72" si="3">H19-G19</f>
        <v>0</v>
      </c>
      <c r="J19" s="52"/>
      <c r="K19" s="350">
        <f t="shared" si="0"/>
        <v>243079.10869565216</v>
      </c>
      <c r="L19" s="63">
        <f t="shared" si="1"/>
        <v>0</v>
      </c>
      <c r="M19" s="350">
        <f t="shared" si="2"/>
        <v>243079.10869565216</v>
      </c>
      <c r="N19" s="54">
        <f>IF(M19&lt;&gt;0,+H19-M19,0)</f>
        <v>0</v>
      </c>
      <c r="O19" s="52">
        <f>+N19-L19</f>
        <v>0</v>
      </c>
      <c r="P19" s="1"/>
    </row>
    <row r="20" spans="2:16">
      <c r="B20" s="7" t="str">
        <f t="shared" ref="B20:B72" si="4">IF(D20=F19,"","IU")</f>
        <v/>
      </c>
      <c r="C20" s="50">
        <f>IF(D11="","-",+C19+1)</f>
        <v>2018</v>
      </c>
      <c r="D20" s="411">
        <v>1621049.2759197324</v>
      </c>
      <c r="E20" s="412">
        <v>37600.511111111111</v>
      </c>
      <c r="F20" s="411">
        <v>1583448.7648086213</v>
      </c>
      <c r="G20" s="412">
        <v>229484.15653998824</v>
      </c>
      <c r="H20" s="414">
        <v>229484.15653998824</v>
      </c>
      <c r="I20" s="52">
        <f t="shared" si="3"/>
        <v>0</v>
      </c>
      <c r="J20" s="52"/>
      <c r="K20" s="350">
        <f t="shared" si="0"/>
        <v>229484.15653998824</v>
      </c>
      <c r="L20" s="63">
        <f t="shared" si="1"/>
        <v>0</v>
      </c>
      <c r="M20" s="350">
        <f t="shared" si="2"/>
        <v>229484.15653998824</v>
      </c>
      <c r="N20" s="54">
        <f>IF(M20&lt;&gt;0,+H20-M20,0)</f>
        <v>0</v>
      </c>
      <c r="O20" s="52">
        <f>+N20-L20</f>
        <v>0</v>
      </c>
      <c r="P20" s="1"/>
    </row>
    <row r="21" spans="2:16">
      <c r="B21" s="7" t="str">
        <f t="shared" si="4"/>
        <v/>
      </c>
      <c r="C21" s="50">
        <f>IF(D11="","-",+C20+1)</f>
        <v>2019</v>
      </c>
      <c r="D21" s="411">
        <v>1583448.7648086213</v>
      </c>
      <c r="E21" s="412">
        <v>42300.574999999997</v>
      </c>
      <c r="F21" s="411">
        <v>1541148.1898086213</v>
      </c>
      <c r="G21" s="412">
        <v>216741.56005757477</v>
      </c>
      <c r="H21" s="414">
        <v>216741.56005757477</v>
      </c>
      <c r="I21" s="52">
        <f t="shared" si="3"/>
        <v>0</v>
      </c>
      <c r="J21" s="52"/>
      <c r="K21" s="350">
        <f t="shared" si="0"/>
        <v>216741.56005757477</v>
      </c>
      <c r="L21" s="63">
        <f t="shared" si="1"/>
        <v>0</v>
      </c>
      <c r="M21" s="350">
        <f t="shared" si="2"/>
        <v>216741.56005757477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>
      <c r="B22" s="7" t="str">
        <f t="shared" si="4"/>
        <v>IU</v>
      </c>
      <c r="C22" s="50">
        <f>IF(D11="","-",+C21+1)</f>
        <v>2020</v>
      </c>
      <c r="D22" s="411">
        <v>1545848.2536975101</v>
      </c>
      <c r="E22" s="412">
        <v>40286.261904761908</v>
      </c>
      <c r="F22" s="411">
        <v>1505561.9917927482</v>
      </c>
      <c r="G22" s="412">
        <v>205069.7033172223</v>
      </c>
      <c r="H22" s="414">
        <v>205069.7033172223</v>
      </c>
      <c r="I22" s="52">
        <f t="shared" si="3"/>
        <v>0</v>
      </c>
      <c r="J22" s="52"/>
      <c r="K22" s="350">
        <f t="shared" si="0"/>
        <v>205069.7033172223</v>
      </c>
      <c r="L22" s="63">
        <f t="shared" si="1"/>
        <v>0</v>
      </c>
      <c r="M22" s="350">
        <f t="shared" si="2"/>
        <v>205069.7033172223</v>
      </c>
      <c r="N22" s="54">
        <f t="shared" si="5"/>
        <v>0</v>
      </c>
      <c r="O22" s="54">
        <f t="shared" si="6"/>
        <v>0</v>
      </c>
      <c r="P22" s="1"/>
    </row>
    <row r="23" spans="2:16">
      <c r="B23" s="7" t="str">
        <f t="shared" si="4"/>
        <v>IU</v>
      </c>
      <c r="C23" s="50">
        <f>IF(D11="","-",+C22+1)</f>
        <v>2021</v>
      </c>
      <c r="D23" s="411">
        <v>1500861.9279038594</v>
      </c>
      <c r="E23" s="412">
        <v>39349.372093023259</v>
      </c>
      <c r="F23" s="411">
        <v>1461512.5558108361</v>
      </c>
      <c r="G23" s="412">
        <v>196932.37209302327</v>
      </c>
      <c r="H23" s="414">
        <v>196932.37209302327</v>
      </c>
      <c r="I23" s="52">
        <f t="shared" si="3"/>
        <v>0</v>
      </c>
      <c r="J23" s="52"/>
      <c r="K23" s="350">
        <f t="shared" ref="K23" si="7">G23</f>
        <v>196932.37209302327</v>
      </c>
      <c r="L23" s="63">
        <f t="shared" ref="L23" si="8">IF(K23&lt;&gt;0,+G23-K23,0)</f>
        <v>0</v>
      </c>
      <c r="M23" s="350">
        <f t="shared" ref="M23" si="9">H23</f>
        <v>196932.37209302327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4"/>
        <v/>
      </c>
      <c r="C24" s="50">
        <f>IF(D11="","-",+C23+1)</f>
        <v>2022</v>
      </c>
      <c r="D24" s="411">
        <v>1461512.5558108361</v>
      </c>
      <c r="E24" s="412">
        <v>40286.261904761908</v>
      </c>
      <c r="F24" s="411">
        <v>1421226.2939060743</v>
      </c>
      <c r="G24" s="412">
        <v>193510.26190476189</v>
      </c>
      <c r="H24" s="414">
        <v>193510.26190476189</v>
      </c>
      <c r="I24" s="52">
        <f t="shared" si="3"/>
        <v>0</v>
      </c>
      <c r="J24" s="52"/>
      <c r="K24" s="350">
        <f t="shared" ref="K24" si="10">G24</f>
        <v>193510.26190476189</v>
      </c>
      <c r="L24" s="63">
        <f t="shared" ref="L24" si="11">IF(K24&lt;&gt;0,+G24-K24,0)</f>
        <v>0</v>
      </c>
      <c r="M24" s="350">
        <f t="shared" ref="M24" si="12">H24</f>
        <v>193510.26190476189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4"/>
        <v>IU</v>
      </c>
      <c r="C25" s="50">
        <f>IF(D11="","-",+C24+1)</f>
        <v>2023</v>
      </c>
      <c r="D25" s="411">
        <v>1421226.4639060744</v>
      </c>
      <c r="E25" s="412">
        <v>43385.209487179491</v>
      </c>
      <c r="F25" s="411">
        <v>1377841.2544188949</v>
      </c>
      <c r="G25" s="412">
        <v>207843.2094871795</v>
      </c>
      <c r="H25" s="414">
        <v>207843.2094871795</v>
      </c>
      <c r="I25" s="52">
        <f t="shared" si="3"/>
        <v>0</v>
      </c>
      <c r="J25" s="52"/>
      <c r="K25" s="350">
        <f t="shared" ref="K25" si="13">G25</f>
        <v>207843.2094871795</v>
      </c>
      <c r="L25" s="63">
        <f t="shared" ref="L25" si="14">IF(K25&lt;&gt;0,+G25-K25,0)</f>
        <v>0</v>
      </c>
      <c r="M25" s="350">
        <f t="shared" ref="M25" si="15">H25</f>
        <v>207843.2094871795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4"/>
        <v/>
      </c>
      <c r="C26" s="50">
        <f>IF(D11="","-",+C25+1)</f>
        <v>2024</v>
      </c>
      <c r="D26" s="411">
        <v>1377841.2544188949</v>
      </c>
      <c r="E26" s="412">
        <v>44526.92552631579</v>
      </c>
      <c r="F26" s="411">
        <v>1333314.3288925791</v>
      </c>
      <c r="G26" s="412">
        <v>196177.92552631578</v>
      </c>
      <c r="H26" s="414">
        <v>196177.92552631578</v>
      </c>
      <c r="I26" s="52">
        <f t="shared" si="3"/>
        <v>0</v>
      </c>
      <c r="J26" s="52"/>
      <c r="K26" s="350">
        <f t="shared" ref="K26" si="16">G26</f>
        <v>196177.92552631578</v>
      </c>
      <c r="L26" s="63">
        <f t="shared" ref="L26" si="17">IF(K26&lt;&gt;0,+G26-K26,0)</f>
        <v>0</v>
      </c>
      <c r="M26" s="350">
        <f t="shared" ref="M26" si="18">H26</f>
        <v>196177.92552631578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>
      <c r="B27" s="7" t="str">
        <f t="shared" si="4"/>
        <v/>
      </c>
      <c r="C27" s="50">
        <f>IF(D11="","-",+C26+1)</f>
        <v>2025</v>
      </c>
      <c r="D27" s="411">
        <v>1333314.3288925791</v>
      </c>
      <c r="E27" s="412">
        <v>44526.92552631579</v>
      </c>
      <c r="F27" s="411">
        <v>1288787.4033662633</v>
      </c>
      <c r="G27" s="412">
        <v>190941.92552631578</v>
      </c>
      <c r="H27" s="414">
        <v>190941.92552631578</v>
      </c>
      <c r="I27" s="52">
        <f t="shared" si="3"/>
        <v>0</v>
      </c>
      <c r="J27" s="52"/>
      <c r="K27" s="350">
        <f t="shared" ref="K27" si="21">G27</f>
        <v>190941.92552631578</v>
      </c>
      <c r="L27" s="63">
        <f t="shared" ref="L27" si="22">IF(K27&lt;&gt;0,+G27-K27,0)</f>
        <v>0</v>
      </c>
      <c r="M27" s="350">
        <f t="shared" ref="M27" si="23">H27</f>
        <v>190941.92552631578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1288787.4033662633</v>
      </c>
      <c r="E28" s="354">
        <f t="shared" ref="E28:E72" si="26">IF(+$I$14&lt;F27,$I$14,D28)</f>
        <v>44526.92552631579</v>
      </c>
      <c r="F28" s="55">
        <f t="shared" ref="F28:F72" si="27">+D28-E28</f>
        <v>1244260.4778399474</v>
      </c>
      <c r="G28" s="355">
        <f t="shared" ref="G28:G72" si="28">(D28+F28)/2*I$12+E28</f>
        <v>188412.27022401438</v>
      </c>
      <c r="H28" s="336">
        <f t="shared" ref="H28:H72" si="29">+(D28+F28)/2*I$13+E28</f>
        <v>188412.27022401438</v>
      </c>
      <c r="I28" s="52">
        <f t="shared" si="3"/>
        <v>0</v>
      </c>
      <c r="J28" s="52"/>
      <c r="K28" s="115"/>
      <c r="L28" s="54">
        <f t="shared" ref="L28:L72" si="30">IF(K28&lt;&gt;0,+G28-K28,0)</f>
        <v>0</v>
      </c>
      <c r="M28" s="115"/>
      <c r="N28" s="54">
        <f t="shared" si="5"/>
        <v>0</v>
      </c>
      <c r="O28" s="54">
        <f t="shared" si="6"/>
        <v>0</v>
      </c>
      <c r="P28" s="1"/>
    </row>
    <row r="29" spans="2:16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1244260.4778399474</v>
      </c>
      <c r="E29" s="354">
        <f t="shared" si="26"/>
        <v>44526.92552631579</v>
      </c>
      <c r="F29" s="55">
        <f t="shared" si="27"/>
        <v>1199733.5523136316</v>
      </c>
      <c r="G29" s="355">
        <f t="shared" si="28"/>
        <v>183353.72231797807</v>
      </c>
      <c r="H29" s="336">
        <f t="shared" si="29"/>
        <v>183353.72231797807</v>
      </c>
      <c r="I29" s="52">
        <f t="shared" si="3"/>
        <v>0</v>
      </c>
      <c r="J29" s="52"/>
      <c r="K29" s="115"/>
      <c r="L29" s="54">
        <f t="shared" si="30"/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1199733.5523136316</v>
      </c>
      <c r="E30" s="354">
        <f t="shared" si="26"/>
        <v>44526.92552631579</v>
      </c>
      <c r="F30" s="55">
        <f t="shared" si="27"/>
        <v>1155206.6267873158</v>
      </c>
      <c r="G30" s="355">
        <f t="shared" si="28"/>
        <v>178295.17441194176</v>
      </c>
      <c r="H30" s="336">
        <f t="shared" si="29"/>
        <v>178295.17441194176</v>
      </c>
      <c r="I30" s="52">
        <f t="shared" si="3"/>
        <v>0</v>
      </c>
      <c r="J30" s="52"/>
      <c r="K30" s="115"/>
      <c r="L30" s="54">
        <f t="shared" si="30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1155206.6267873158</v>
      </c>
      <c r="E31" s="354">
        <f t="shared" si="26"/>
        <v>44526.92552631579</v>
      </c>
      <c r="F31" s="55">
        <f t="shared" si="27"/>
        <v>1110679.701261</v>
      </c>
      <c r="G31" s="355">
        <f t="shared" si="28"/>
        <v>173236.62650590544</v>
      </c>
      <c r="H31" s="336">
        <f t="shared" si="29"/>
        <v>173236.62650590544</v>
      </c>
      <c r="I31" s="52">
        <f t="shared" si="3"/>
        <v>0</v>
      </c>
      <c r="J31" s="52"/>
      <c r="K31" s="115"/>
      <c r="L31" s="54">
        <f t="shared" si="30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1110679.701261</v>
      </c>
      <c r="E32" s="354">
        <f t="shared" si="26"/>
        <v>44526.92552631579</v>
      </c>
      <c r="F32" s="55">
        <f t="shared" si="27"/>
        <v>1066152.7757346842</v>
      </c>
      <c r="G32" s="355">
        <f t="shared" si="28"/>
        <v>168178.07859986913</v>
      </c>
      <c r="H32" s="336">
        <f t="shared" si="29"/>
        <v>168178.07859986913</v>
      </c>
      <c r="I32" s="52">
        <f t="shared" si="3"/>
        <v>0</v>
      </c>
      <c r="J32" s="52"/>
      <c r="K32" s="115"/>
      <c r="L32" s="54">
        <f t="shared" si="30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1066152.7757346842</v>
      </c>
      <c r="E33" s="354">
        <f t="shared" si="26"/>
        <v>44526.92552631579</v>
      </c>
      <c r="F33" s="55">
        <f t="shared" si="27"/>
        <v>1021625.8502083684</v>
      </c>
      <c r="G33" s="355">
        <f t="shared" si="28"/>
        <v>163119.53069383278</v>
      </c>
      <c r="H33" s="336">
        <f t="shared" si="29"/>
        <v>163119.53069383278</v>
      </c>
      <c r="I33" s="52">
        <f t="shared" si="3"/>
        <v>0</v>
      </c>
      <c r="J33" s="52"/>
      <c r="K33" s="115"/>
      <c r="L33" s="54">
        <f t="shared" si="30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1021625.8502083684</v>
      </c>
      <c r="E34" s="354">
        <f t="shared" si="26"/>
        <v>44526.92552631579</v>
      </c>
      <c r="F34" s="55">
        <f t="shared" si="27"/>
        <v>977098.92468205257</v>
      </c>
      <c r="G34" s="355">
        <f t="shared" si="28"/>
        <v>158060.98278779647</v>
      </c>
      <c r="H34" s="336">
        <f t="shared" si="29"/>
        <v>158060.98278779647</v>
      </c>
      <c r="I34" s="52">
        <f t="shared" si="3"/>
        <v>0</v>
      </c>
      <c r="J34" s="52"/>
      <c r="K34" s="115"/>
      <c r="L34" s="54">
        <f t="shared" si="30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977098.92468205257</v>
      </c>
      <c r="E35" s="354">
        <f t="shared" si="26"/>
        <v>44526.92552631579</v>
      </c>
      <c r="F35" s="55">
        <f t="shared" si="27"/>
        <v>932571.99915573676</v>
      </c>
      <c r="G35" s="355">
        <f t="shared" si="28"/>
        <v>153002.43488176016</v>
      </c>
      <c r="H35" s="336">
        <f t="shared" si="29"/>
        <v>153002.43488176016</v>
      </c>
      <c r="I35" s="52">
        <f t="shared" si="3"/>
        <v>0</v>
      </c>
      <c r="J35" s="52"/>
      <c r="K35" s="115"/>
      <c r="L35" s="54">
        <f t="shared" si="30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932571.99915573676</v>
      </c>
      <c r="E36" s="354">
        <f t="shared" si="26"/>
        <v>44526.92552631579</v>
      </c>
      <c r="F36" s="55">
        <f t="shared" si="27"/>
        <v>888045.07362942095</v>
      </c>
      <c r="G36" s="355">
        <f t="shared" si="28"/>
        <v>147943.88697572384</v>
      </c>
      <c r="H36" s="336">
        <f t="shared" si="29"/>
        <v>147943.88697572384</v>
      </c>
      <c r="I36" s="52">
        <f t="shared" si="3"/>
        <v>0</v>
      </c>
      <c r="J36" s="52"/>
      <c r="K36" s="115"/>
      <c r="L36" s="54">
        <f t="shared" si="30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888045.07362942095</v>
      </c>
      <c r="E37" s="354">
        <f t="shared" si="26"/>
        <v>44526.92552631579</v>
      </c>
      <c r="F37" s="55">
        <f t="shared" si="27"/>
        <v>843518.14810310514</v>
      </c>
      <c r="G37" s="355">
        <f t="shared" si="28"/>
        <v>142885.33906968753</v>
      </c>
      <c r="H37" s="336">
        <f t="shared" si="29"/>
        <v>142885.33906968753</v>
      </c>
      <c r="I37" s="52">
        <f t="shared" si="3"/>
        <v>0</v>
      </c>
      <c r="J37" s="52"/>
      <c r="K37" s="115"/>
      <c r="L37" s="54">
        <f t="shared" si="30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843518.14810310514</v>
      </c>
      <c r="E38" s="354">
        <f t="shared" si="26"/>
        <v>44526.92552631579</v>
      </c>
      <c r="F38" s="55">
        <f t="shared" si="27"/>
        <v>798991.22257678933</v>
      </c>
      <c r="G38" s="355">
        <f t="shared" si="28"/>
        <v>137826.79116365121</v>
      </c>
      <c r="H38" s="336">
        <f t="shared" si="29"/>
        <v>137826.79116365121</v>
      </c>
      <c r="I38" s="52">
        <f t="shared" si="3"/>
        <v>0</v>
      </c>
      <c r="J38" s="52"/>
      <c r="K38" s="115"/>
      <c r="L38" s="54">
        <f t="shared" si="30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798991.22257678933</v>
      </c>
      <c r="E39" s="354">
        <f t="shared" si="26"/>
        <v>44526.92552631579</v>
      </c>
      <c r="F39" s="55">
        <f t="shared" si="27"/>
        <v>754464.29705047351</v>
      </c>
      <c r="G39" s="355">
        <f t="shared" si="28"/>
        <v>132768.24325761487</v>
      </c>
      <c r="H39" s="336">
        <f t="shared" si="29"/>
        <v>132768.24325761487</v>
      </c>
      <c r="I39" s="52">
        <f t="shared" si="3"/>
        <v>0</v>
      </c>
      <c r="J39" s="52"/>
      <c r="K39" s="115"/>
      <c r="L39" s="54">
        <f t="shared" si="30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754464.29705047351</v>
      </c>
      <c r="E40" s="354">
        <f t="shared" si="26"/>
        <v>44526.92552631579</v>
      </c>
      <c r="F40" s="55">
        <f t="shared" si="27"/>
        <v>709937.3715241577</v>
      </c>
      <c r="G40" s="355">
        <f t="shared" si="28"/>
        <v>127709.69535157856</v>
      </c>
      <c r="H40" s="336">
        <f t="shared" si="29"/>
        <v>127709.69535157856</v>
      </c>
      <c r="I40" s="52">
        <f t="shared" si="3"/>
        <v>0</v>
      </c>
      <c r="J40" s="52"/>
      <c r="K40" s="115"/>
      <c r="L40" s="54">
        <f t="shared" si="30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709937.3715241577</v>
      </c>
      <c r="E41" s="354">
        <f t="shared" si="26"/>
        <v>44526.92552631579</v>
      </c>
      <c r="F41" s="55">
        <f t="shared" si="27"/>
        <v>665410.44599784189</v>
      </c>
      <c r="G41" s="355">
        <f t="shared" si="28"/>
        <v>122651.14744554224</v>
      </c>
      <c r="H41" s="336">
        <f t="shared" si="29"/>
        <v>122651.14744554224</v>
      </c>
      <c r="I41" s="52">
        <f t="shared" si="3"/>
        <v>0</v>
      </c>
      <c r="J41" s="52"/>
      <c r="K41" s="115"/>
      <c r="L41" s="54">
        <f t="shared" si="30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665410.44599784189</v>
      </c>
      <c r="E42" s="354">
        <f t="shared" si="26"/>
        <v>44526.92552631579</v>
      </c>
      <c r="F42" s="55">
        <f t="shared" si="27"/>
        <v>620883.52047152608</v>
      </c>
      <c r="G42" s="355">
        <f t="shared" si="28"/>
        <v>117592.59953950593</v>
      </c>
      <c r="H42" s="336">
        <f t="shared" si="29"/>
        <v>117592.59953950593</v>
      </c>
      <c r="I42" s="52">
        <f t="shared" si="3"/>
        <v>0</v>
      </c>
      <c r="J42" s="52"/>
      <c r="K42" s="115"/>
      <c r="L42" s="54">
        <f t="shared" si="30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620883.52047152608</v>
      </c>
      <c r="E43" s="354">
        <f t="shared" si="26"/>
        <v>44526.92552631579</v>
      </c>
      <c r="F43" s="55">
        <f t="shared" si="27"/>
        <v>576356.59494521026</v>
      </c>
      <c r="G43" s="355">
        <f t="shared" si="28"/>
        <v>112534.05163346961</v>
      </c>
      <c r="H43" s="336">
        <f t="shared" si="29"/>
        <v>112534.05163346961</v>
      </c>
      <c r="I43" s="52">
        <f t="shared" si="3"/>
        <v>0</v>
      </c>
      <c r="J43" s="52"/>
      <c r="K43" s="115"/>
      <c r="L43" s="54">
        <f t="shared" si="30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576356.59494521026</v>
      </c>
      <c r="E44" s="354">
        <f t="shared" si="26"/>
        <v>44526.92552631579</v>
      </c>
      <c r="F44" s="55">
        <f t="shared" si="27"/>
        <v>531829.66941889445</v>
      </c>
      <c r="G44" s="355">
        <f t="shared" si="28"/>
        <v>107475.5037274333</v>
      </c>
      <c r="H44" s="336">
        <f t="shared" si="29"/>
        <v>107475.5037274333</v>
      </c>
      <c r="I44" s="52">
        <f t="shared" si="3"/>
        <v>0</v>
      </c>
      <c r="J44" s="52"/>
      <c r="K44" s="115"/>
      <c r="L44" s="54">
        <f t="shared" si="30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531829.66941889445</v>
      </c>
      <c r="E45" s="354">
        <f t="shared" si="26"/>
        <v>44526.92552631579</v>
      </c>
      <c r="F45" s="55">
        <f t="shared" si="27"/>
        <v>487302.74389257864</v>
      </c>
      <c r="G45" s="355">
        <f t="shared" si="28"/>
        <v>102416.95582139697</v>
      </c>
      <c r="H45" s="336">
        <f t="shared" si="29"/>
        <v>102416.95582139697</v>
      </c>
      <c r="I45" s="52">
        <f t="shared" si="3"/>
        <v>0</v>
      </c>
      <c r="J45" s="52"/>
      <c r="K45" s="115"/>
      <c r="L45" s="54">
        <f t="shared" si="30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487302.74389257864</v>
      </c>
      <c r="E46" s="354">
        <f t="shared" si="26"/>
        <v>44526.92552631579</v>
      </c>
      <c r="F46" s="55">
        <f t="shared" si="27"/>
        <v>442775.81836626283</v>
      </c>
      <c r="G46" s="355">
        <f t="shared" si="28"/>
        <v>97358.407915360658</v>
      </c>
      <c r="H46" s="336">
        <f t="shared" si="29"/>
        <v>97358.407915360658</v>
      </c>
      <c r="I46" s="52">
        <f t="shared" si="3"/>
        <v>0</v>
      </c>
      <c r="J46" s="52"/>
      <c r="K46" s="115"/>
      <c r="L46" s="54">
        <f t="shared" si="30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442775.81836626283</v>
      </c>
      <c r="E47" s="354">
        <f t="shared" si="26"/>
        <v>44526.92552631579</v>
      </c>
      <c r="F47" s="55">
        <f t="shared" si="27"/>
        <v>398248.89283994702</v>
      </c>
      <c r="G47" s="355">
        <f t="shared" si="28"/>
        <v>92299.860009324329</v>
      </c>
      <c r="H47" s="336">
        <f t="shared" si="29"/>
        <v>92299.860009324329</v>
      </c>
      <c r="I47" s="52">
        <f t="shared" si="3"/>
        <v>0</v>
      </c>
      <c r="J47" s="52"/>
      <c r="K47" s="115"/>
      <c r="L47" s="54">
        <f t="shared" si="30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398248.89283994702</v>
      </c>
      <c r="E48" s="354">
        <f t="shared" si="26"/>
        <v>44526.92552631579</v>
      </c>
      <c r="F48" s="55">
        <f t="shared" si="27"/>
        <v>353721.9673136312</v>
      </c>
      <c r="G48" s="355">
        <f t="shared" si="28"/>
        <v>87241.312103288015</v>
      </c>
      <c r="H48" s="336">
        <f t="shared" si="29"/>
        <v>87241.312103288015</v>
      </c>
      <c r="I48" s="52">
        <f t="shared" si="3"/>
        <v>0</v>
      </c>
      <c r="J48" s="52"/>
      <c r="K48" s="115"/>
      <c r="L48" s="54">
        <f t="shared" si="30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353721.9673136312</v>
      </c>
      <c r="E49" s="354">
        <f t="shared" si="26"/>
        <v>44526.92552631579</v>
      </c>
      <c r="F49" s="55">
        <f t="shared" si="27"/>
        <v>309195.04178731539</v>
      </c>
      <c r="G49" s="355">
        <f t="shared" si="28"/>
        <v>82182.764197251701</v>
      </c>
      <c r="H49" s="336">
        <f t="shared" si="29"/>
        <v>82182.764197251701</v>
      </c>
      <c r="I49" s="52">
        <f t="shared" si="3"/>
        <v>0</v>
      </c>
      <c r="J49" s="52"/>
      <c r="K49" s="115"/>
      <c r="L49" s="54">
        <f t="shared" si="30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309195.04178731539</v>
      </c>
      <c r="E50" s="354">
        <f t="shared" si="26"/>
        <v>44526.92552631579</v>
      </c>
      <c r="F50" s="55">
        <f t="shared" si="27"/>
        <v>264668.11626099958</v>
      </c>
      <c r="G50" s="355">
        <f t="shared" si="28"/>
        <v>77124.216291215387</v>
      </c>
      <c r="H50" s="336">
        <f t="shared" si="29"/>
        <v>77124.216291215387</v>
      </c>
      <c r="I50" s="52">
        <f t="shared" si="3"/>
        <v>0</v>
      </c>
      <c r="J50" s="52"/>
      <c r="K50" s="115"/>
      <c r="L50" s="54">
        <f t="shared" si="30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264668.11626099958</v>
      </c>
      <c r="E51" s="354">
        <f t="shared" si="26"/>
        <v>44526.92552631579</v>
      </c>
      <c r="F51" s="55">
        <f t="shared" si="27"/>
        <v>220141.1907346838</v>
      </c>
      <c r="G51" s="355">
        <f t="shared" si="28"/>
        <v>72065.668385179059</v>
      </c>
      <c r="H51" s="336">
        <f t="shared" si="29"/>
        <v>72065.668385179059</v>
      </c>
      <c r="I51" s="52">
        <f t="shared" si="3"/>
        <v>0</v>
      </c>
      <c r="J51" s="52"/>
      <c r="K51" s="115"/>
      <c r="L51" s="54">
        <f t="shared" si="30"/>
        <v>0</v>
      </c>
      <c r="M51" s="115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220141.1907346838</v>
      </c>
      <c r="E52" s="354">
        <f t="shared" si="26"/>
        <v>44526.92552631579</v>
      </c>
      <c r="F52" s="55">
        <f t="shared" si="27"/>
        <v>175614.26520836802</v>
      </c>
      <c r="G52" s="355">
        <f t="shared" si="28"/>
        <v>67007.120479142759</v>
      </c>
      <c r="H52" s="336">
        <f t="shared" si="29"/>
        <v>67007.120479142759</v>
      </c>
      <c r="I52" s="52">
        <f t="shared" si="3"/>
        <v>0</v>
      </c>
      <c r="J52" s="52"/>
      <c r="K52" s="115"/>
      <c r="L52" s="54">
        <f t="shared" si="30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175614.26520836802</v>
      </c>
      <c r="E53" s="354">
        <f t="shared" si="26"/>
        <v>44526.92552631579</v>
      </c>
      <c r="F53" s="55">
        <f t="shared" si="27"/>
        <v>131087.33968205223</v>
      </c>
      <c r="G53" s="355">
        <f t="shared" si="28"/>
        <v>61948.57257310643</v>
      </c>
      <c r="H53" s="336">
        <f t="shared" si="29"/>
        <v>61948.57257310643</v>
      </c>
      <c r="I53" s="52">
        <f t="shared" si="3"/>
        <v>0</v>
      </c>
      <c r="J53" s="52"/>
      <c r="K53" s="115"/>
      <c r="L53" s="54">
        <f t="shared" si="30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131087.33968205223</v>
      </c>
      <c r="E54" s="354">
        <f t="shared" si="26"/>
        <v>44526.92552631579</v>
      </c>
      <c r="F54" s="55">
        <f t="shared" si="27"/>
        <v>86560.414155736449</v>
      </c>
      <c r="G54" s="355">
        <f t="shared" si="28"/>
        <v>56890.024667070116</v>
      </c>
      <c r="H54" s="336">
        <f t="shared" si="29"/>
        <v>56890.024667070116</v>
      </c>
      <c r="I54" s="52">
        <f t="shared" si="3"/>
        <v>0</v>
      </c>
      <c r="J54" s="52"/>
      <c r="K54" s="115"/>
      <c r="L54" s="54">
        <f t="shared" si="30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86560.414155736449</v>
      </c>
      <c r="E55" s="354">
        <f t="shared" si="26"/>
        <v>44526.92552631579</v>
      </c>
      <c r="F55" s="55">
        <f t="shared" si="27"/>
        <v>42033.488629420659</v>
      </c>
      <c r="G55" s="355">
        <f t="shared" si="28"/>
        <v>51831.476761033802</v>
      </c>
      <c r="H55" s="336">
        <f t="shared" si="29"/>
        <v>51831.476761033802</v>
      </c>
      <c r="I55" s="52">
        <f t="shared" si="3"/>
        <v>0</v>
      </c>
      <c r="J55" s="52"/>
      <c r="K55" s="115"/>
      <c r="L55" s="54">
        <f t="shared" si="30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42033.488629420659</v>
      </c>
      <c r="E56" s="354">
        <f t="shared" si="26"/>
        <v>42033.488629420659</v>
      </c>
      <c r="F56" s="55">
        <f t="shared" si="27"/>
        <v>0</v>
      </c>
      <c r="G56" s="355">
        <f t="shared" si="28"/>
        <v>44421.12727027059</v>
      </c>
      <c r="H56" s="336">
        <f t="shared" si="29"/>
        <v>44421.12727027059</v>
      </c>
      <c r="I56" s="52">
        <f t="shared" si="3"/>
        <v>0</v>
      </c>
      <c r="J56" s="52"/>
      <c r="K56" s="115"/>
      <c r="L56" s="54">
        <f t="shared" si="30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0</v>
      </c>
      <c r="E57" s="354">
        <f t="shared" si="26"/>
        <v>0</v>
      </c>
      <c r="F57" s="55">
        <f t="shared" si="27"/>
        <v>0</v>
      </c>
      <c r="G57" s="355">
        <f t="shared" si="28"/>
        <v>0</v>
      </c>
      <c r="H57" s="336">
        <f t="shared" si="29"/>
        <v>0</v>
      </c>
      <c r="I57" s="52">
        <f t="shared" si="3"/>
        <v>0</v>
      </c>
      <c r="J57" s="52"/>
      <c r="K57" s="115"/>
      <c r="L57" s="54">
        <f t="shared" si="30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0</v>
      </c>
      <c r="E58" s="354">
        <f t="shared" si="26"/>
        <v>0</v>
      </c>
      <c r="F58" s="55">
        <f t="shared" si="27"/>
        <v>0</v>
      </c>
      <c r="G58" s="355">
        <f t="shared" si="28"/>
        <v>0</v>
      </c>
      <c r="H58" s="336">
        <f t="shared" si="29"/>
        <v>0</v>
      </c>
      <c r="I58" s="52">
        <f t="shared" si="3"/>
        <v>0</v>
      </c>
      <c r="J58" s="52"/>
      <c r="K58" s="115"/>
      <c r="L58" s="54">
        <f t="shared" si="30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0</v>
      </c>
      <c r="E59" s="354">
        <f t="shared" si="26"/>
        <v>0</v>
      </c>
      <c r="F59" s="55">
        <f t="shared" si="27"/>
        <v>0</v>
      </c>
      <c r="G59" s="355">
        <f t="shared" si="28"/>
        <v>0</v>
      </c>
      <c r="H59" s="336">
        <f t="shared" si="29"/>
        <v>0</v>
      </c>
      <c r="I59" s="52">
        <f t="shared" si="3"/>
        <v>0</v>
      </c>
      <c r="J59" s="52"/>
      <c r="K59" s="115"/>
      <c r="L59" s="54">
        <f t="shared" si="30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0</v>
      </c>
      <c r="E60" s="354">
        <f t="shared" si="26"/>
        <v>0</v>
      </c>
      <c r="F60" s="55">
        <f t="shared" si="27"/>
        <v>0</v>
      </c>
      <c r="G60" s="355">
        <f t="shared" si="28"/>
        <v>0</v>
      </c>
      <c r="H60" s="336">
        <f t="shared" si="29"/>
        <v>0</v>
      </c>
      <c r="I60" s="52">
        <f t="shared" si="3"/>
        <v>0</v>
      </c>
      <c r="J60" s="52"/>
      <c r="K60" s="115"/>
      <c r="L60" s="54">
        <f t="shared" si="30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54">
        <f t="shared" si="26"/>
        <v>0</v>
      </c>
      <c r="F61" s="55">
        <f t="shared" si="27"/>
        <v>0</v>
      </c>
      <c r="G61" s="355">
        <f t="shared" si="28"/>
        <v>0</v>
      </c>
      <c r="H61" s="336">
        <f t="shared" si="29"/>
        <v>0</v>
      </c>
      <c r="I61" s="52">
        <f t="shared" si="3"/>
        <v>0</v>
      </c>
      <c r="J61" s="52"/>
      <c r="K61" s="115"/>
      <c r="L61" s="54">
        <f t="shared" si="30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54">
        <f t="shared" si="26"/>
        <v>0</v>
      </c>
      <c r="F62" s="55">
        <f t="shared" si="27"/>
        <v>0</v>
      </c>
      <c r="G62" s="355">
        <f t="shared" si="28"/>
        <v>0</v>
      </c>
      <c r="H62" s="336">
        <f t="shared" si="29"/>
        <v>0</v>
      </c>
      <c r="I62" s="52">
        <f t="shared" si="3"/>
        <v>0</v>
      </c>
      <c r="J62" s="52"/>
      <c r="K62" s="115"/>
      <c r="L62" s="54">
        <f t="shared" si="30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54">
        <f t="shared" si="26"/>
        <v>0</v>
      </c>
      <c r="F63" s="55">
        <f t="shared" si="27"/>
        <v>0</v>
      </c>
      <c r="G63" s="355">
        <f t="shared" si="28"/>
        <v>0</v>
      </c>
      <c r="H63" s="336">
        <f t="shared" si="29"/>
        <v>0</v>
      </c>
      <c r="I63" s="52">
        <f t="shared" si="3"/>
        <v>0</v>
      </c>
      <c r="J63" s="52"/>
      <c r="K63" s="115"/>
      <c r="L63" s="54">
        <f t="shared" si="30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54">
        <f t="shared" si="26"/>
        <v>0</v>
      </c>
      <c r="F64" s="55">
        <f t="shared" si="27"/>
        <v>0</v>
      </c>
      <c r="G64" s="355">
        <f t="shared" si="28"/>
        <v>0</v>
      </c>
      <c r="H64" s="336">
        <f t="shared" si="29"/>
        <v>0</v>
      </c>
      <c r="I64" s="52">
        <f t="shared" si="3"/>
        <v>0</v>
      </c>
      <c r="J64" s="52"/>
      <c r="K64" s="115"/>
      <c r="L64" s="54">
        <f t="shared" si="30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54">
        <f t="shared" si="26"/>
        <v>0</v>
      </c>
      <c r="F65" s="55">
        <f t="shared" si="27"/>
        <v>0</v>
      </c>
      <c r="G65" s="355">
        <f t="shared" si="28"/>
        <v>0</v>
      </c>
      <c r="H65" s="336">
        <f t="shared" si="29"/>
        <v>0</v>
      </c>
      <c r="I65" s="52">
        <f t="shared" si="3"/>
        <v>0</v>
      </c>
      <c r="J65" s="52"/>
      <c r="K65" s="115"/>
      <c r="L65" s="54">
        <f t="shared" si="30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54">
        <f t="shared" si="26"/>
        <v>0</v>
      </c>
      <c r="F66" s="55">
        <f t="shared" si="27"/>
        <v>0</v>
      </c>
      <c r="G66" s="355">
        <f t="shared" si="28"/>
        <v>0</v>
      </c>
      <c r="H66" s="336">
        <f t="shared" si="29"/>
        <v>0</v>
      </c>
      <c r="I66" s="52">
        <f t="shared" si="3"/>
        <v>0</v>
      </c>
      <c r="J66" s="52"/>
      <c r="K66" s="115"/>
      <c r="L66" s="54">
        <f t="shared" si="30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54">
        <f t="shared" si="26"/>
        <v>0</v>
      </c>
      <c r="F67" s="55">
        <f t="shared" si="27"/>
        <v>0</v>
      </c>
      <c r="G67" s="355">
        <f t="shared" si="28"/>
        <v>0</v>
      </c>
      <c r="H67" s="336">
        <f t="shared" si="29"/>
        <v>0</v>
      </c>
      <c r="I67" s="52">
        <f t="shared" si="3"/>
        <v>0</v>
      </c>
      <c r="J67" s="52"/>
      <c r="K67" s="115"/>
      <c r="L67" s="54">
        <f t="shared" si="30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54">
        <f t="shared" si="26"/>
        <v>0</v>
      </c>
      <c r="F68" s="55">
        <f t="shared" si="27"/>
        <v>0</v>
      </c>
      <c r="G68" s="355">
        <f t="shared" si="28"/>
        <v>0</v>
      </c>
      <c r="H68" s="336">
        <f t="shared" si="29"/>
        <v>0</v>
      </c>
      <c r="I68" s="52">
        <f t="shared" si="3"/>
        <v>0</v>
      </c>
      <c r="J68" s="52"/>
      <c r="K68" s="115"/>
      <c r="L68" s="54">
        <f t="shared" si="30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54">
        <f t="shared" si="26"/>
        <v>0</v>
      </c>
      <c r="F69" s="55">
        <f t="shared" si="27"/>
        <v>0</v>
      </c>
      <c r="G69" s="355">
        <f t="shared" si="28"/>
        <v>0</v>
      </c>
      <c r="H69" s="336">
        <f t="shared" si="29"/>
        <v>0</v>
      </c>
      <c r="I69" s="52">
        <f t="shared" si="3"/>
        <v>0</v>
      </c>
      <c r="J69" s="52"/>
      <c r="K69" s="115"/>
      <c r="L69" s="54">
        <f t="shared" si="30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54">
        <f t="shared" si="26"/>
        <v>0</v>
      </c>
      <c r="F70" s="55">
        <f t="shared" si="27"/>
        <v>0</v>
      </c>
      <c r="G70" s="355">
        <f t="shared" si="28"/>
        <v>0</v>
      </c>
      <c r="H70" s="336">
        <f t="shared" si="29"/>
        <v>0</v>
      </c>
      <c r="I70" s="52">
        <f t="shared" si="3"/>
        <v>0</v>
      </c>
      <c r="J70" s="52"/>
      <c r="K70" s="115"/>
      <c r="L70" s="54">
        <f t="shared" si="30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54">
        <f t="shared" si="26"/>
        <v>0</v>
      </c>
      <c r="F71" s="55">
        <f t="shared" si="27"/>
        <v>0</v>
      </c>
      <c r="G71" s="355">
        <f t="shared" si="28"/>
        <v>0</v>
      </c>
      <c r="H71" s="336">
        <f t="shared" si="29"/>
        <v>0</v>
      </c>
      <c r="I71" s="52">
        <f t="shared" si="3"/>
        <v>0</v>
      </c>
      <c r="J71" s="52"/>
      <c r="K71" s="115"/>
      <c r="L71" s="54">
        <f t="shared" si="30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4"/>
        <v/>
      </c>
      <c r="C72" s="58">
        <f>IF(D11="","-",+C71+1)</f>
        <v>2070</v>
      </c>
      <c r="D72" s="59">
        <f>IF(F71+SUM(E$17:E71)=D$10,F71,D$10-SUM(E$17:E71))</f>
        <v>0</v>
      </c>
      <c r="E72" s="357">
        <f t="shared" si="26"/>
        <v>0</v>
      </c>
      <c r="F72" s="59">
        <f t="shared" si="27"/>
        <v>0</v>
      </c>
      <c r="G72" s="59">
        <f t="shared" si="28"/>
        <v>0</v>
      </c>
      <c r="H72" s="59">
        <f t="shared" si="29"/>
        <v>0</v>
      </c>
      <c r="I72" s="61">
        <f t="shared" si="3"/>
        <v>0</v>
      </c>
      <c r="J72" s="52"/>
      <c r="K72" s="116"/>
      <c r="L72" s="62">
        <f t="shared" si="30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>
      <c r="C73" s="12" t="s">
        <v>77</v>
      </c>
      <c r="D73" s="266"/>
      <c r="E73" s="266">
        <f>SUM(E17:E72)</f>
        <v>1692023.1700000002</v>
      </c>
      <c r="F73" s="266"/>
      <c r="G73" s="266">
        <f>SUM(G17:G72)</f>
        <v>5757317.9087431999</v>
      </c>
      <c r="H73" s="266">
        <f>SUM(H17:H72)</f>
        <v>5757317.9087431999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17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190941.92552631578</v>
      </c>
      <c r="N87" s="364">
        <f>IF(J92&lt;D11,0,VLOOKUP(J92,C17:O72,11))</f>
        <v>190941.92552631578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201322.84246131007</v>
      </c>
      <c r="N88" s="367">
        <f>IF(J92&lt;D11,0,VLOOKUP(J92,C99:P154,7))</f>
        <v>201322.84246131007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Grady Customer Connection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10380.916934994282</v>
      </c>
      <c r="N89" s="369">
        <f>+N88-N87</f>
        <v>10380.916934994282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TP2013002</v>
      </c>
      <c r="E91" s="74" t="str">
        <f>E9</f>
        <v xml:space="preserve">  SPP Project ID = 30748</v>
      </c>
      <c r="F91" s="74"/>
      <c r="G91" s="74"/>
      <c r="H91" s="74"/>
      <c r="I91" s="74"/>
      <c r="J91" s="74"/>
    </row>
    <row r="92" spans="1:16">
      <c r="C92" s="128" t="s">
        <v>226</v>
      </c>
      <c r="D92" s="433">
        <v>1692023.1700000002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2015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12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45730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2015</v>
      </c>
      <c r="D99" s="411">
        <v>0</v>
      </c>
      <c r="E99" s="432">
        <v>0</v>
      </c>
      <c r="F99" s="411">
        <v>1625288</v>
      </c>
      <c r="G99" s="432">
        <v>812644</v>
      </c>
      <c r="H99" s="414">
        <v>110878.7398202499</v>
      </c>
      <c r="I99" s="431">
        <v>110878.7398202499</v>
      </c>
      <c r="J99" s="54">
        <f>+I99-H99</f>
        <v>0</v>
      </c>
      <c r="K99" s="54"/>
      <c r="L99" s="117">
        <f>+H99</f>
        <v>110878.7398202499</v>
      </c>
      <c r="M99" s="53">
        <f t="shared" ref="M99:M130" si="31">IF(L99&lt;&gt;0,+H99-L99,0)</f>
        <v>0</v>
      </c>
      <c r="N99" s="117">
        <f>+I99</f>
        <v>110878.7398202499</v>
      </c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>
      <c r="B100" s="7" t="str">
        <f>IF(D100=F99,"","IU")</f>
        <v>IU</v>
      </c>
      <c r="C100" s="50">
        <f>IF(D93="","-",+C99+1)</f>
        <v>2016</v>
      </c>
      <c r="D100" s="411">
        <v>1692023</v>
      </c>
      <c r="E100" s="412">
        <v>36783</v>
      </c>
      <c r="F100" s="413">
        <v>1655240</v>
      </c>
      <c r="G100" s="413">
        <v>1673631.5</v>
      </c>
      <c r="H100" s="430">
        <v>252540.45816220198</v>
      </c>
      <c r="I100" s="431">
        <v>252540.45816220198</v>
      </c>
      <c r="J100" s="54">
        <f>+I100-H100</f>
        <v>0</v>
      </c>
      <c r="K100" s="54"/>
      <c r="L100" s="350">
        <f t="shared" ref="L100:L105" si="34">H100</f>
        <v>252540.45816220198</v>
      </c>
      <c r="M100" s="63">
        <f t="shared" ref="M100:M105" si="35">IF(L100&lt;&gt;0,+H100-L100,0)</f>
        <v>0</v>
      </c>
      <c r="N100" s="350">
        <f t="shared" ref="N100:N105" si="36">I100</f>
        <v>252540.45816220198</v>
      </c>
      <c r="O100" s="54">
        <f>IF(N100&lt;&gt;0,+I100-N100,0)</f>
        <v>0</v>
      </c>
      <c r="P100" s="52">
        <f>+O100-M100</f>
        <v>0</v>
      </c>
    </row>
    <row r="101" spans="1:16">
      <c r="B101" s="7" t="str">
        <f t="shared" ref="B101:B154" si="37">IF(D101=F100,"","IU")</f>
        <v/>
      </c>
      <c r="C101" s="50">
        <f>IF(D93="","-",+C100+1)</f>
        <v>2017</v>
      </c>
      <c r="D101" s="411">
        <v>1655240</v>
      </c>
      <c r="E101" s="412">
        <v>36783</v>
      </c>
      <c r="F101" s="413">
        <v>1618457</v>
      </c>
      <c r="G101" s="413">
        <v>1636848.5</v>
      </c>
      <c r="H101" s="430">
        <v>244421.35953995908</v>
      </c>
      <c r="I101" s="431">
        <v>244421.35953995908</v>
      </c>
      <c r="J101" s="54">
        <f t="shared" ref="J101:J154" si="38">+I101-H101</f>
        <v>0</v>
      </c>
      <c r="K101" s="54"/>
      <c r="L101" s="350">
        <f t="shared" si="34"/>
        <v>244421.35953995908</v>
      </c>
      <c r="M101" s="63">
        <f t="shared" si="35"/>
        <v>0</v>
      </c>
      <c r="N101" s="350">
        <f t="shared" si="36"/>
        <v>244421.35953995908</v>
      </c>
      <c r="O101" s="54">
        <f>IF(N101&lt;&gt;0,+I101-N101,0)</f>
        <v>0</v>
      </c>
      <c r="P101" s="52">
        <f>+O101-M101</f>
        <v>0</v>
      </c>
    </row>
    <row r="102" spans="1:16">
      <c r="B102" s="7" t="str">
        <f t="shared" si="37"/>
        <v/>
      </c>
      <c r="C102" s="50">
        <f>IF(D93="","-",+C101+1)</f>
        <v>2018</v>
      </c>
      <c r="D102" s="411">
        <v>1618457</v>
      </c>
      <c r="E102" s="412">
        <v>39349</v>
      </c>
      <c r="F102" s="413">
        <v>1579108</v>
      </c>
      <c r="G102" s="413">
        <v>1598782.5</v>
      </c>
      <c r="H102" s="430">
        <v>203600.82637045698</v>
      </c>
      <c r="I102" s="431">
        <v>203600.82637045698</v>
      </c>
      <c r="J102" s="54">
        <f t="shared" si="38"/>
        <v>0</v>
      </c>
      <c r="K102" s="54"/>
      <c r="L102" s="350">
        <f t="shared" si="34"/>
        <v>203600.82637045698</v>
      </c>
      <c r="M102" s="63">
        <f t="shared" si="35"/>
        <v>0</v>
      </c>
      <c r="N102" s="350">
        <f t="shared" si="36"/>
        <v>203600.82637045698</v>
      </c>
      <c r="O102" s="54">
        <f>IF(N102&lt;&gt;0,+I102-N102,0)</f>
        <v>0</v>
      </c>
      <c r="P102" s="52">
        <f>+O102-M102</f>
        <v>0</v>
      </c>
    </row>
    <row r="103" spans="1:16">
      <c r="B103" s="7" t="str">
        <f t="shared" si="37"/>
        <v/>
      </c>
      <c r="C103" s="50">
        <f>IF(D93="","-",+C102+1)</f>
        <v>2019</v>
      </c>
      <c r="D103" s="411">
        <v>1579108</v>
      </c>
      <c r="E103" s="412">
        <v>41269</v>
      </c>
      <c r="F103" s="413">
        <v>1537839</v>
      </c>
      <c r="G103" s="413">
        <v>1558473.5</v>
      </c>
      <c r="H103" s="430">
        <v>201969.47712497122</v>
      </c>
      <c r="I103" s="431">
        <v>201969.47712497122</v>
      </c>
      <c r="J103" s="54">
        <f t="shared" si="38"/>
        <v>0</v>
      </c>
      <c r="K103" s="54"/>
      <c r="L103" s="350">
        <f t="shared" si="34"/>
        <v>201969.47712497122</v>
      </c>
      <c r="M103" s="63">
        <f t="shared" si="35"/>
        <v>0</v>
      </c>
      <c r="N103" s="350">
        <f t="shared" si="36"/>
        <v>201969.47712497122</v>
      </c>
      <c r="O103" s="54">
        <f t="shared" si="32"/>
        <v>0</v>
      </c>
      <c r="P103" s="54">
        <f t="shared" si="33"/>
        <v>0</v>
      </c>
    </row>
    <row r="104" spans="1:16">
      <c r="B104" s="7" t="str">
        <f t="shared" si="37"/>
        <v/>
      </c>
      <c r="C104" s="50">
        <f>IF(D93="","-",+C103+1)</f>
        <v>2020</v>
      </c>
      <c r="D104" s="411">
        <v>1537839</v>
      </c>
      <c r="E104" s="412">
        <v>39349</v>
      </c>
      <c r="F104" s="413">
        <v>1498490</v>
      </c>
      <c r="G104" s="413">
        <v>1518164.5</v>
      </c>
      <c r="H104" s="430">
        <v>214389.19300086203</v>
      </c>
      <c r="I104" s="431">
        <v>214389.19300086203</v>
      </c>
      <c r="J104" s="54">
        <f t="shared" si="38"/>
        <v>0</v>
      </c>
      <c r="K104" s="54"/>
      <c r="L104" s="350">
        <f t="shared" si="34"/>
        <v>214389.19300086203</v>
      </c>
      <c r="M104" s="63">
        <f t="shared" si="35"/>
        <v>0</v>
      </c>
      <c r="N104" s="350">
        <f t="shared" si="36"/>
        <v>214389.19300086203</v>
      </c>
      <c r="O104" s="54">
        <f t="shared" si="32"/>
        <v>0</v>
      </c>
      <c r="P104" s="54">
        <f t="shared" si="33"/>
        <v>0</v>
      </c>
    </row>
    <row r="105" spans="1:16">
      <c r="B105" s="7" t="str">
        <f t="shared" si="37"/>
        <v/>
      </c>
      <c r="C105" s="50">
        <f>IF(D93="","-",+C104+1)</f>
        <v>2021</v>
      </c>
      <c r="D105" s="411">
        <v>1498490</v>
      </c>
      <c r="E105" s="412">
        <v>41269</v>
      </c>
      <c r="F105" s="413">
        <v>1457221</v>
      </c>
      <c r="G105" s="413">
        <v>1477855.5</v>
      </c>
      <c r="H105" s="430">
        <v>209438.30504191047</v>
      </c>
      <c r="I105" s="431">
        <v>209438.30504191047</v>
      </c>
      <c r="J105" s="54">
        <f t="shared" si="38"/>
        <v>0</v>
      </c>
      <c r="K105" s="54"/>
      <c r="L105" s="350">
        <f t="shared" si="34"/>
        <v>209438.30504191047</v>
      </c>
      <c r="M105" s="63">
        <f t="shared" si="35"/>
        <v>0</v>
      </c>
      <c r="N105" s="350">
        <f t="shared" si="36"/>
        <v>209438.30504191047</v>
      </c>
      <c r="O105" s="54">
        <f t="shared" si="32"/>
        <v>0</v>
      </c>
      <c r="P105" s="54">
        <f t="shared" si="33"/>
        <v>0</v>
      </c>
    </row>
    <row r="106" spans="1:16">
      <c r="B106" s="7" t="str">
        <f t="shared" si="37"/>
        <v/>
      </c>
      <c r="C106" s="50">
        <f>IF(D93="","-",+C105+1)</f>
        <v>2022</v>
      </c>
      <c r="D106" s="411">
        <v>1457221</v>
      </c>
      <c r="E106" s="412">
        <v>43385</v>
      </c>
      <c r="F106" s="413">
        <v>1413836</v>
      </c>
      <c r="G106" s="413">
        <v>1435528.5</v>
      </c>
      <c r="H106" s="430">
        <v>201555.33840860223</v>
      </c>
      <c r="I106" s="431">
        <v>201555.33840860223</v>
      </c>
      <c r="J106" s="54">
        <f t="shared" si="38"/>
        <v>0</v>
      </c>
      <c r="K106" s="54"/>
      <c r="L106" s="350">
        <f t="shared" ref="L106" si="39">H106</f>
        <v>201555.33840860223</v>
      </c>
      <c r="M106" s="63">
        <f t="shared" ref="M106" si="40">IF(L106&lt;&gt;0,+H106-L106,0)</f>
        <v>0</v>
      </c>
      <c r="N106" s="350">
        <f t="shared" ref="N106" si="41">I106</f>
        <v>201555.33840860223</v>
      </c>
      <c r="O106" s="54">
        <f t="shared" ref="O106" si="42">IF(N106&lt;&gt;0,+I106-N106,0)</f>
        <v>0</v>
      </c>
      <c r="P106" s="54">
        <f t="shared" ref="P106" si="43">+O106-M106</f>
        <v>0</v>
      </c>
    </row>
    <row r="107" spans="1:16">
      <c r="B107" s="7" t="str">
        <f t="shared" si="37"/>
        <v>IU</v>
      </c>
      <c r="C107" s="50">
        <f>IF(D93="","-",+C106+1)</f>
        <v>2023</v>
      </c>
      <c r="D107" s="411">
        <v>1413836.1700000002</v>
      </c>
      <c r="E107" s="412">
        <v>44527</v>
      </c>
      <c r="F107" s="413">
        <v>1369309.1700000002</v>
      </c>
      <c r="G107" s="413">
        <v>1391572.6700000002</v>
      </c>
      <c r="H107" s="430">
        <v>203482.24520661493</v>
      </c>
      <c r="I107" s="431">
        <v>203482.24520661493</v>
      </c>
      <c r="J107" s="54">
        <f t="shared" si="38"/>
        <v>0</v>
      </c>
      <c r="K107" s="54"/>
      <c r="L107" s="350">
        <f t="shared" ref="L107" si="44">H107</f>
        <v>203482.24520661493</v>
      </c>
      <c r="M107" s="63">
        <f t="shared" ref="M107" si="45">IF(L107&lt;&gt;0,+H107-L107,0)</f>
        <v>0</v>
      </c>
      <c r="N107" s="350">
        <f t="shared" ref="N107" si="46">I107</f>
        <v>203482.24520661493</v>
      </c>
      <c r="O107" s="54">
        <f t="shared" ref="O107" si="47">IF(N107&lt;&gt;0,+I107-N107,0)</f>
        <v>0</v>
      </c>
      <c r="P107" s="54">
        <f t="shared" ref="P107" si="48">+O107-M107</f>
        <v>0</v>
      </c>
    </row>
    <row r="108" spans="1:16">
      <c r="B108" s="7" t="str">
        <f t="shared" si="37"/>
        <v/>
      </c>
      <c r="C108" s="50">
        <f>IF(D93="","-",+C107+1)</f>
        <v>2024</v>
      </c>
      <c r="D108" s="411">
        <v>1369309.1700000002</v>
      </c>
      <c r="E108" s="412">
        <v>45730</v>
      </c>
      <c r="F108" s="413">
        <v>1323579.1700000002</v>
      </c>
      <c r="G108" s="413">
        <v>1346444.1700000002</v>
      </c>
      <c r="H108" s="430">
        <v>226582.6436747314</v>
      </c>
      <c r="I108" s="431">
        <v>226582.6436747314</v>
      </c>
      <c r="J108" s="54">
        <f t="shared" si="38"/>
        <v>0</v>
      </c>
      <c r="K108" s="54"/>
      <c r="L108" s="350">
        <f t="shared" ref="L108" si="49">H108</f>
        <v>226582.6436747314</v>
      </c>
      <c r="M108" s="63">
        <f t="shared" ref="M108" si="50">IF(L108&lt;&gt;0,+H108-L108,0)</f>
        <v>0</v>
      </c>
      <c r="N108" s="350">
        <f t="shared" ref="N108" si="51">I108</f>
        <v>226582.6436747314</v>
      </c>
      <c r="O108" s="54">
        <f t="shared" ref="O108" si="52">IF(N108&lt;&gt;0,+I108-N108,0)</f>
        <v>0</v>
      </c>
      <c r="P108" s="54">
        <f t="shared" ref="P108" si="53">+O108-M108</f>
        <v>0</v>
      </c>
    </row>
    <row r="109" spans="1:16">
      <c r="B109" s="7" t="str">
        <f t="shared" si="37"/>
        <v/>
      </c>
      <c r="C109" s="50">
        <f>IF(D93="","-",+C108+1)</f>
        <v>2025</v>
      </c>
      <c r="D109" s="12">
        <f>IF(F108+SUM(E$99:E108)=D$92,F108,D$92-SUM(E$99:E108))</f>
        <v>1323579.1700000002</v>
      </c>
      <c r="E109" s="354">
        <f t="shared" ref="E109:E154" si="54">IF(+J$96&lt;F108,J$96,D109)</f>
        <v>45730</v>
      </c>
      <c r="F109" s="55">
        <f t="shared" ref="F109:F154" si="55">+D109-E109</f>
        <v>1277849.1700000002</v>
      </c>
      <c r="G109" s="55">
        <f t="shared" ref="G109:G154" si="56">+(F109+D109)/2</f>
        <v>1300714.1700000002</v>
      </c>
      <c r="H109" s="355">
        <f t="shared" ref="H109:H153" si="57">(D109+F109)/2*J$94+E109</f>
        <v>201322.84246131007</v>
      </c>
      <c r="I109" s="381">
        <f t="shared" ref="I109:I153" si="58">+J$95*G109+E109</f>
        <v>201322.84246131007</v>
      </c>
      <c r="J109" s="54">
        <f t="shared" si="38"/>
        <v>0</v>
      </c>
      <c r="K109" s="54"/>
      <c r="L109" s="115"/>
      <c r="M109" s="54">
        <f t="shared" si="31"/>
        <v>0</v>
      </c>
      <c r="N109" s="115"/>
      <c r="O109" s="54">
        <f t="shared" si="32"/>
        <v>0</v>
      </c>
      <c r="P109" s="54">
        <f t="shared" si="33"/>
        <v>0</v>
      </c>
    </row>
    <row r="110" spans="1:16">
      <c r="B110" s="7" t="str">
        <f t="shared" si="37"/>
        <v/>
      </c>
      <c r="C110" s="50">
        <f>IF(D93="","-",+C109+1)</f>
        <v>2026</v>
      </c>
      <c r="D110" s="12">
        <f>IF(F109+SUM(E$99:E109)=D$92,F109,D$92-SUM(E$99:E109))</f>
        <v>1277849.1700000002</v>
      </c>
      <c r="E110" s="354">
        <f t="shared" si="54"/>
        <v>45730</v>
      </c>
      <c r="F110" s="55">
        <f t="shared" si="55"/>
        <v>1232119.1700000002</v>
      </c>
      <c r="G110" s="55">
        <f t="shared" si="56"/>
        <v>1254984.1700000002</v>
      </c>
      <c r="H110" s="355">
        <f t="shared" si="57"/>
        <v>195852.57016793164</v>
      </c>
      <c r="I110" s="381">
        <f t="shared" si="58"/>
        <v>195852.57016793164</v>
      </c>
      <c r="J110" s="54">
        <f t="shared" si="38"/>
        <v>0</v>
      </c>
      <c r="K110" s="54"/>
      <c r="L110" s="115"/>
      <c r="M110" s="54">
        <f t="shared" si="31"/>
        <v>0</v>
      </c>
      <c r="N110" s="115"/>
      <c r="O110" s="54">
        <f t="shared" si="32"/>
        <v>0</v>
      </c>
      <c r="P110" s="54">
        <f t="shared" si="33"/>
        <v>0</v>
      </c>
    </row>
    <row r="111" spans="1:16">
      <c r="B111" s="7" t="str">
        <f t="shared" si="37"/>
        <v/>
      </c>
      <c r="C111" s="50">
        <f>IF(D93="","-",+C110+1)</f>
        <v>2027</v>
      </c>
      <c r="D111" s="12">
        <f>IF(F110+SUM(E$99:E110)=D$92,F110,D$92-SUM(E$99:E110))</f>
        <v>1232119.1700000002</v>
      </c>
      <c r="E111" s="354">
        <f t="shared" si="54"/>
        <v>45730</v>
      </c>
      <c r="F111" s="55">
        <f t="shared" si="55"/>
        <v>1186389.1700000002</v>
      </c>
      <c r="G111" s="55">
        <f t="shared" si="56"/>
        <v>1209254.1700000002</v>
      </c>
      <c r="H111" s="355">
        <f t="shared" si="57"/>
        <v>190382.29787455322</v>
      </c>
      <c r="I111" s="381">
        <f t="shared" si="58"/>
        <v>190382.29787455322</v>
      </c>
      <c r="J111" s="54">
        <f t="shared" si="38"/>
        <v>0</v>
      </c>
      <c r="K111" s="54"/>
      <c r="L111" s="115"/>
      <c r="M111" s="54">
        <f t="shared" si="31"/>
        <v>0</v>
      </c>
      <c r="N111" s="115"/>
      <c r="O111" s="54">
        <f t="shared" si="32"/>
        <v>0</v>
      </c>
      <c r="P111" s="54">
        <f t="shared" si="33"/>
        <v>0</v>
      </c>
    </row>
    <row r="112" spans="1:16">
      <c r="B112" s="7" t="str">
        <f t="shared" si="37"/>
        <v/>
      </c>
      <c r="C112" s="50">
        <f>IF(D93="","-",+C111+1)</f>
        <v>2028</v>
      </c>
      <c r="D112" s="12">
        <f>IF(F111+SUM(E$99:E111)=D$92,F111,D$92-SUM(E$99:E111))</f>
        <v>1186389.1700000002</v>
      </c>
      <c r="E112" s="354">
        <f t="shared" si="54"/>
        <v>45730</v>
      </c>
      <c r="F112" s="55">
        <f t="shared" si="55"/>
        <v>1140659.1700000002</v>
      </c>
      <c r="G112" s="55">
        <f t="shared" si="56"/>
        <v>1163524.1700000002</v>
      </c>
      <c r="H112" s="355">
        <f t="shared" si="57"/>
        <v>184912.02558117479</v>
      </c>
      <c r="I112" s="381">
        <f t="shared" si="58"/>
        <v>184912.02558117479</v>
      </c>
      <c r="J112" s="54">
        <f t="shared" si="38"/>
        <v>0</v>
      </c>
      <c r="K112" s="54"/>
      <c r="L112" s="115"/>
      <c r="M112" s="54">
        <f t="shared" si="31"/>
        <v>0</v>
      </c>
      <c r="N112" s="115"/>
      <c r="O112" s="54">
        <f t="shared" si="32"/>
        <v>0</v>
      </c>
      <c r="P112" s="54">
        <f t="shared" si="33"/>
        <v>0</v>
      </c>
    </row>
    <row r="113" spans="2:16">
      <c r="B113" s="7" t="str">
        <f t="shared" si="37"/>
        <v/>
      </c>
      <c r="C113" s="50">
        <f>IF(D93="","-",+C112+1)</f>
        <v>2029</v>
      </c>
      <c r="D113" s="12">
        <f>IF(F112+SUM(E$99:E112)=D$92,F112,D$92-SUM(E$99:E112))</f>
        <v>1140659.1700000002</v>
      </c>
      <c r="E113" s="354">
        <f t="shared" si="54"/>
        <v>45730</v>
      </c>
      <c r="F113" s="55">
        <f t="shared" si="55"/>
        <v>1094929.1700000002</v>
      </c>
      <c r="G113" s="55">
        <f t="shared" si="56"/>
        <v>1117794.1700000002</v>
      </c>
      <c r="H113" s="355">
        <f t="shared" si="57"/>
        <v>179441.7532877964</v>
      </c>
      <c r="I113" s="381">
        <f t="shared" si="58"/>
        <v>179441.7532877964</v>
      </c>
      <c r="J113" s="54">
        <f t="shared" si="38"/>
        <v>0</v>
      </c>
      <c r="K113" s="54"/>
      <c r="L113" s="115"/>
      <c r="M113" s="54">
        <f t="shared" si="31"/>
        <v>0</v>
      </c>
      <c r="N113" s="115"/>
      <c r="O113" s="54">
        <f t="shared" si="32"/>
        <v>0</v>
      </c>
      <c r="P113" s="54">
        <f t="shared" si="33"/>
        <v>0</v>
      </c>
    </row>
    <row r="114" spans="2:16">
      <c r="B114" s="7" t="str">
        <f t="shared" si="37"/>
        <v/>
      </c>
      <c r="C114" s="50">
        <f>IF(D93="","-",+C113+1)</f>
        <v>2030</v>
      </c>
      <c r="D114" s="12">
        <f>IF(F113+SUM(E$99:E113)=D$92,F113,D$92-SUM(E$99:E113))</f>
        <v>1094929.1700000002</v>
      </c>
      <c r="E114" s="354">
        <f t="shared" si="54"/>
        <v>45730</v>
      </c>
      <c r="F114" s="55">
        <f t="shared" si="55"/>
        <v>1049199.1700000002</v>
      </c>
      <c r="G114" s="55">
        <f t="shared" si="56"/>
        <v>1072064.1700000002</v>
      </c>
      <c r="H114" s="355">
        <f t="shared" si="57"/>
        <v>173971.48099441797</v>
      </c>
      <c r="I114" s="381">
        <f t="shared" si="58"/>
        <v>173971.48099441797</v>
      </c>
      <c r="J114" s="54">
        <f t="shared" si="38"/>
        <v>0</v>
      </c>
      <c r="K114" s="54"/>
      <c r="L114" s="115"/>
      <c r="M114" s="54">
        <f t="shared" si="31"/>
        <v>0</v>
      </c>
      <c r="N114" s="115"/>
      <c r="O114" s="54">
        <f t="shared" si="32"/>
        <v>0</v>
      </c>
      <c r="P114" s="54">
        <f t="shared" si="33"/>
        <v>0</v>
      </c>
    </row>
    <row r="115" spans="2:16">
      <c r="B115" s="7" t="str">
        <f t="shared" si="37"/>
        <v/>
      </c>
      <c r="C115" s="50">
        <f>IF(D93="","-",+C114+1)</f>
        <v>2031</v>
      </c>
      <c r="D115" s="12">
        <f>IF(F114+SUM(E$99:E114)=D$92,F114,D$92-SUM(E$99:E114))</f>
        <v>1049199.1700000002</v>
      </c>
      <c r="E115" s="354">
        <f t="shared" si="54"/>
        <v>45730</v>
      </c>
      <c r="F115" s="55">
        <f t="shared" si="55"/>
        <v>1003469.1700000002</v>
      </c>
      <c r="G115" s="55">
        <f t="shared" si="56"/>
        <v>1026334.1700000002</v>
      </c>
      <c r="H115" s="355">
        <f t="shared" si="57"/>
        <v>168501.20870103955</v>
      </c>
      <c r="I115" s="381">
        <f t="shared" si="58"/>
        <v>168501.20870103955</v>
      </c>
      <c r="J115" s="54">
        <f t="shared" si="38"/>
        <v>0</v>
      </c>
      <c r="K115" s="54"/>
      <c r="L115" s="115"/>
      <c r="M115" s="54">
        <f t="shared" si="31"/>
        <v>0</v>
      </c>
      <c r="N115" s="115"/>
      <c r="O115" s="54">
        <f t="shared" si="32"/>
        <v>0</v>
      </c>
      <c r="P115" s="54">
        <f t="shared" si="33"/>
        <v>0</v>
      </c>
    </row>
    <row r="116" spans="2:16">
      <c r="B116" s="7" t="str">
        <f t="shared" si="37"/>
        <v/>
      </c>
      <c r="C116" s="50">
        <f>IF(D93="","-",+C115+1)</f>
        <v>2032</v>
      </c>
      <c r="D116" s="12">
        <f>IF(F115+SUM(E$99:E115)=D$92,F115,D$92-SUM(E$99:E115))</f>
        <v>1003469.1700000002</v>
      </c>
      <c r="E116" s="354">
        <f t="shared" si="54"/>
        <v>45730</v>
      </c>
      <c r="F116" s="55">
        <f t="shared" si="55"/>
        <v>957739.17000000016</v>
      </c>
      <c r="G116" s="55">
        <f t="shared" si="56"/>
        <v>980604.17000000016</v>
      </c>
      <c r="H116" s="355">
        <f t="shared" si="57"/>
        <v>163030.93640766112</v>
      </c>
      <c r="I116" s="381">
        <f t="shared" si="58"/>
        <v>163030.93640766112</v>
      </c>
      <c r="J116" s="54">
        <f t="shared" si="38"/>
        <v>0</v>
      </c>
      <c r="K116" s="54"/>
      <c r="L116" s="115"/>
      <c r="M116" s="54">
        <f t="shared" si="31"/>
        <v>0</v>
      </c>
      <c r="N116" s="115"/>
      <c r="O116" s="54">
        <f t="shared" si="32"/>
        <v>0</v>
      </c>
      <c r="P116" s="54">
        <f t="shared" si="33"/>
        <v>0</v>
      </c>
    </row>
    <row r="117" spans="2:16">
      <c r="B117" s="7" t="str">
        <f t="shared" si="37"/>
        <v/>
      </c>
      <c r="C117" s="50">
        <f>IF(D93="","-",+C116+1)</f>
        <v>2033</v>
      </c>
      <c r="D117" s="12">
        <f>IF(F116+SUM(E$99:E116)=D$92,F116,D$92-SUM(E$99:E116))</f>
        <v>957739.17000000016</v>
      </c>
      <c r="E117" s="354">
        <f t="shared" si="54"/>
        <v>45730</v>
      </c>
      <c r="F117" s="55">
        <f t="shared" si="55"/>
        <v>912009.17000000016</v>
      </c>
      <c r="G117" s="55">
        <f t="shared" si="56"/>
        <v>934874.17000000016</v>
      </c>
      <c r="H117" s="355">
        <f t="shared" si="57"/>
        <v>157560.6641142827</v>
      </c>
      <c r="I117" s="381">
        <f t="shared" si="58"/>
        <v>157560.6641142827</v>
      </c>
      <c r="J117" s="54">
        <f t="shared" si="38"/>
        <v>0</v>
      </c>
      <c r="K117" s="54"/>
      <c r="L117" s="115"/>
      <c r="M117" s="54">
        <f t="shared" si="31"/>
        <v>0</v>
      </c>
      <c r="N117" s="115"/>
      <c r="O117" s="54">
        <f t="shared" si="32"/>
        <v>0</v>
      </c>
      <c r="P117" s="54">
        <f t="shared" si="33"/>
        <v>0</v>
      </c>
    </row>
    <row r="118" spans="2:16">
      <c r="B118" s="7" t="str">
        <f t="shared" si="37"/>
        <v/>
      </c>
      <c r="C118" s="50">
        <f>IF(D93="","-",+C117+1)</f>
        <v>2034</v>
      </c>
      <c r="D118" s="12">
        <f>IF(F117+SUM(E$99:E117)=D$92,F117,D$92-SUM(E$99:E117))</f>
        <v>912009.17000000016</v>
      </c>
      <c r="E118" s="354">
        <f t="shared" si="54"/>
        <v>45730</v>
      </c>
      <c r="F118" s="55">
        <f t="shared" si="55"/>
        <v>866279.17000000016</v>
      </c>
      <c r="G118" s="55">
        <f t="shared" si="56"/>
        <v>889144.17000000016</v>
      </c>
      <c r="H118" s="355">
        <f t="shared" si="57"/>
        <v>152090.39182090427</v>
      </c>
      <c r="I118" s="381">
        <f t="shared" si="58"/>
        <v>152090.39182090427</v>
      </c>
      <c r="J118" s="54">
        <f t="shared" si="38"/>
        <v>0</v>
      </c>
      <c r="K118" s="54"/>
      <c r="L118" s="115"/>
      <c r="M118" s="54">
        <f t="shared" si="31"/>
        <v>0</v>
      </c>
      <c r="N118" s="115"/>
      <c r="O118" s="54">
        <f t="shared" si="32"/>
        <v>0</v>
      </c>
      <c r="P118" s="54">
        <f t="shared" si="33"/>
        <v>0</v>
      </c>
    </row>
    <row r="119" spans="2:16">
      <c r="B119" s="7" t="str">
        <f t="shared" si="37"/>
        <v/>
      </c>
      <c r="C119" s="50">
        <f>IF(D93="","-",+C118+1)</f>
        <v>2035</v>
      </c>
      <c r="D119" s="12">
        <f>IF(F118+SUM(E$99:E118)=D$92,F118,D$92-SUM(E$99:E118))</f>
        <v>866279.17000000016</v>
      </c>
      <c r="E119" s="354">
        <f t="shared" si="54"/>
        <v>45730</v>
      </c>
      <c r="F119" s="55">
        <f t="shared" si="55"/>
        <v>820549.17000000016</v>
      </c>
      <c r="G119" s="55">
        <f t="shared" si="56"/>
        <v>843414.17000000016</v>
      </c>
      <c r="H119" s="355">
        <f t="shared" si="57"/>
        <v>146620.11952752585</v>
      </c>
      <c r="I119" s="381">
        <f t="shared" si="58"/>
        <v>146620.11952752585</v>
      </c>
      <c r="J119" s="54">
        <f t="shared" si="38"/>
        <v>0</v>
      </c>
      <c r="K119" s="54"/>
      <c r="L119" s="115"/>
      <c r="M119" s="54">
        <f t="shared" si="31"/>
        <v>0</v>
      </c>
      <c r="N119" s="115"/>
      <c r="O119" s="54">
        <f t="shared" si="32"/>
        <v>0</v>
      </c>
      <c r="P119" s="54">
        <f t="shared" si="33"/>
        <v>0</v>
      </c>
    </row>
    <row r="120" spans="2:16">
      <c r="B120" s="7" t="str">
        <f t="shared" si="37"/>
        <v/>
      </c>
      <c r="C120" s="50">
        <f>IF(D93="","-",+C119+1)</f>
        <v>2036</v>
      </c>
      <c r="D120" s="12">
        <f>IF(F119+SUM(E$99:E119)=D$92,F119,D$92-SUM(E$99:E119))</f>
        <v>820549.17000000016</v>
      </c>
      <c r="E120" s="354">
        <f t="shared" si="54"/>
        <v>45730</v>
      </c>
      <c r="F120" s="55">
        <f t="shared" si="55"/>
        <v>774819.17000000016</v>
      </c>
      <c r="G120" s="55">
        <f t="shared" si="56"/>
        <v>797684.17000000016</v>
      </c>
      <c r="H120" s="355">
        <f t="shared" si="57"/>
        <v>141149.84723414743</v>
      </c>
      <c r="I120" s="381">
        <f t="shared" si="58"/>
        <v>141149.84723414743</v>
      </c>
      <c r="J120" s="54">
        <f t="shared" si="38"/>
        <v>0</v>
      </c>
      <c r="K120" s="54"/>
      <c r="L120" s="115"/>
      <c r="M120" s="54">
        <f t="shared" si="31"/>
        <v>0</v>
      </c>
      <c r="N120" s="115"/>
      <c r="O120" s="54">
        <f t="shared" si="32"/>
        <v>0</v>
      </c>
      <c r="P120" s="54">
        <f t="shared" si="33"/>
        <v>0</v>
      </c>
    </row>
    <row r="121" spans="2:16">
      <c r="B121" s="7" t="str">
        <f t="shared" si="37"/>
        <v/>
      </c>
      <c r="C121" s="50">
        <f>IF(D93="","-",+C120+1)</f>
        <v>2037</v>
      </c>
      <c r="D121" s="12">
        <f>IF(F120+SUM(E$99:E120)=D$92,F120,D$92-SUM(E$99:E120))</f>
        <v>774819.17000000016</v>
      </c>
      <c r="E121" s="354">
        <f t="shared" si="54"/>
        <v>45730</v>
      </c>
      <c r="F121" s="55">
        <f t="shared" si="55"/>
        <v>729089.17000000016</v>
      </c>
      <c r="G121" s="55">
        <f t="shared" si="56"/>
        <v>751954.17000000016</v>
      </c>
      <c r="H121" s="355">
        <f t="shared" si="57"/>
        <v>135679.574940769</v>
      </c>
      <c r="I121" s="381">
        <f t="shared" si="58"/>
        <v>135679.574940769</v>
      </c>
      <c r="J121" s="54">
        <f t="shared" si="38"/>
        <v>0</v>
      </c>
      <c r="K121" s="54"/>
      <c r="L121" s="115"/>
      <c r="M121" s="54">
        <f t="shared" si="31"/>
        <v>0</v>
      </c>
      <c r="N121" s="115"/>
      <c r="O121" s="54">
        <f t="shared" si="32"/>
        <v>0</v>
      </c>
      <c r="P121" s="54">
        <f t="shared" si="33"/>
        <v>0</v>
      </c>
    </row>
    <row r="122" spans="2:16">
      <c r="B122" s="7" t="str">
        <f t="shared" si="37"/>
        <v/>
      </c>
      <c r="C122" s="50">
        <f>IF(D93="","-",+C121+1)</f>
        <v>2038</v>
      </c>
      <c r="D122" s="12">
        <f>IF(F121+SUM(E$99:E121)=D$92,F121,D$92-SUM(E$99:E121))</f>
        <v>729089.17000000016</v>
      </c>
      <c r="E122" s="354">
        <f t="shared" si="54"/>
        <v>45730</v>
      </c>
      <c r="F122" s="55">
        <f t="shared" si="55"/>
        <v>683359.17000000016</v>
      </c>
      <c r="G122" s="55">
        <f t="shared" si="56"/>
        <v>706224.17000000016</v>
      </c>
      <c r="H122" s="355">
        <f t="shared" si="57"/>
        <v>130209.30264739061</v>
      </c>
      <c r="I122" s="381">
        <f t="shared" si="58"/>
        <v>130209.30264739061</v>
      </c>
      <c r="J122" s="54">
        <f t="shared" si="38"/>
        <v>0</v>
      </c>
      <c r="K122" s="54"/>
      <c r="L122" s="115"/>
      <c r="M122" s="54">
        <f t="shared" si="31"/>
        <v>0</v>
      </c>
      <c r="N122" s="115"/>
      <c r="O122" s="54">
        <f t="shared" si="32"/>
        <v>0</v>
      </c>
      <c r="P122" s="54">
        <f t="shared" si="33"/>
        <v>0</v>
      </c>
    </row>
    <row r="123" spans="2:16">
      <c r="B123" s="7" t="str">
        <f t="shared" si="37"/>
        <v/>
      </c>
      <c r="C123" s="50">
        <f>IF(D93="","-",+C122+1)</f>
        <v>2039</v>
      </c>
      <c r="D123" s="12">
        <f>IF(F122+SUM(E$99:E122)=D$92,F122,D$92-SUM(E$99:E122))</f>
        <v>683359.17000000016</v>
      </c>
      <c r="E123" s="354">
        <f t="shared" si="54"/>
        <v>45730</v>
      </c>
      <c r="F123" s="55">
        <f t="shared" si="55"/>
        <v>637629.17000000016</v>
      </c>
      <c r="G123" s="55">
        <f t="shared" si="56"/>
        <v>660494.17000000016</v>
      </c>
      <c r="H123" s="355">
        <f t="shared" si="57"/>
        <v>124739.03035401218</v>
      </c>
      <c r="I123" s="381">
        <f t="shared" si="58"/>
        <v>124739.03035401218</v>
      </c>
      <c r="J123" s="54">
        <f t="shared" si="38"/>
        <v>0</v>
      </c>
      <c r="K123" s="54"/>
      <c r="L123" s="115"/>
      <c r="M123" s="54">
        <f t="shared" si="31"/>
        <v>0</v>
      </c>
      <c r="N123" s="115"/>
      <c r="O123" s="54">
        <f t="shared" si="32"/>
        <v>0</v>
      </c>
      <c r="P123" s="54">
        <f t="shared" si="33"/>
        <v>0</v>
      </c>
    </row>
    <row r="124" spans="2:16">
      <c r="B124" s="7" t="str">
        <f t="shared" si="37"/>
        <v/>
      </c>
      <c r="C124" s="50">
        <f>IF(D93="","-",+C123+1)</f>
        <v>2040</v>
      </c>
      <c r="D124" s="12">
        <f>IF(F123+SUM(E$99:E123)=D$92,F123,D$92-SUM(E$99:E123))</f>
        <v>637629.17000000016</v>
      </c>
      <c r="E124" s="354">
        <f t="shared" si="54"/>
        <v>45730</v>
      </c>
      <c r="F124" s="55">
        <f t="shared" si="55"/>
        <v>591899.17000000016</v>
      </c>
      <c r="G124" s="55">
        <f t="shared" si="56"/>
        <v>614764.17000000016</v>
      </c>
      <c r="H124" s="355">
        <f t="shared" si="57"/>
        <v>119268.75806063376</v>
      </c>
      <c r="I124" s="381">
        <f t="shared" si="58"/>
        <v>119268.75806063376</v>
      </c>
      <c r="J124" s="54">
        <f t="shared" si="38"/>
        <v>0</v>
      </c>
      <c r="K124" s="54"/>
      <c r="L124" s="115"/>
      <c r="M124" s="54">
        <f t="shared" si="31"/>
        <v>0</v>
      </c>
      <c r="N124" s="115"/>
      <c r="O124" s="54">
        <f t="shared" si="32"/>
        <v>0</v>
      </c>
      <c r="P124" s="54">
        <f t="shared" si="33"/>
        <v>0</v>
      </c>
    </row>
    <row r="125" spans="2:16">
      <c r="B125" s="7" t="str">
        <f t="shared" si="37"/>
        <v/>
      </c>
      <c r="C125" s="50">
        <f>IF(D93="","-",+C124+1)</f>
        <v>2041</v>
      </c>
      <c r="D125" s="12">
        <f>IF(F124+SUM(E$99:E124)=D$92,F124,D$92-SUM(E$99:E124))</f>
        <v>591899.17000000016</v>
      </c>
      <c r="E125" s="354">
        <f t="shared" si="54"/>
        <v>45730</v>
      </c>
      <c r="F125" s="55">
        <f t="shared" si="55"/>
        <v>546169.17000000016</v>
      </c>
      <c r="G125" s="55">
        <f t="shared" si="56"/>
        <v>569034.17000000016</v>
      </c>
      <c r="H125" s="355">
        <f t="shared" si="57"/>
        <v>113798.48576725533</v>
      </c>
      <c r="I125" s="381">
        <f t="shared" si="58"/>
        <v>113798.48576725533</v>
      </c>
      <c r="J125" s="54">
        <f t="shared" si="38"/>
        <v>0</v>
      </c>
      <c r="K125" s="54"/>
      <c r="L125" s="115"/>
      <c r="M125" s="54">
        <f t="shared" si="31"/>
        <v>0</v>
      </c>
      <c r="N125" s="115"/>
      <c r="O125" s="54">
        <f t="shared" si="32"/>
        <v>0</v>
      </c>
      <c r="P125" s="54">
        <f t="shared" si="33"/>
        <v>0</v>
      </c>
    </row>
    <row r="126" spans="2:16">
      <c r="B126" s="7" t="str">
        <f t="shared" si="37"/>
        <v/>
      </c>
      <c r="C126" s="50">
        <f>IF(D93="","-",+C125+1)</f>
        <v>2042</v>
      </c>
      <c r="D126" s="12">
        <f>IF(F125+SUM(E$99:E125)=D$92,F125,D$92-SUM(E$99:E125))</f>
        <v>546169.17000000016</v>
      </c>
      <c r="E126" s="354">
        <f t="shared" si="54"/>
        <v>45730</v>
      </c>
      <c r="F126" s="55">
        <f t="shared" si="55"/>
        <v>500439.17000000016</v>
      </c>
      <c r="G126" s="55">
        <f t="shared" si="56"/>
        <v>523304.17000000016</v>
      </c>
      <c r="H126" s="355">
        <f t="shared" si="57"/>
        <v>108328.21347387691</v>
      </c>
      <c r="I126" s="381">
        <f t="shared" si="58"/>
        <v>108328.21347387691</v>
      </c>
      <c r="J126" s="54">
        <f t="shared" si="38"/>
        <v>0</v>
      </c>
      <c r="K126" s="54"/>
      <c r="L126" s="115"/>
      <c r="M126" s="54">
        <f t="shared" si="31"/>
        <v>0</v>
      </c>
      <c r="N126" s="115"/>
      <c r="O126" s="54">
        <f t="shared" si="32"/>
        <v>0</v>
      </c>
      <c r="P126" s="54">
        <f t="shared" si="33"/>
        <v>0</v>
      </c>
    </row>
    <row r="127" spans="2:16">
      <c r="B127" s="7" t="str">
        <f t="shared" si="37"/>
        <v/>
      </c>
      <c r="C127" s="50">
        <f>IF(D93="","-",+C126+1)</f>
        <v>2043</v>
      </c>
      <c r="D127" s="12">
        <f>IF(F126+SUM(E$99:E126)=D$92,F126,D$92-SUM(E$99:E126))</f>
        <v>500439.17000000016</v>
      </c>
      <c r="E127" s="354">
        <f t="shared" si="54"/>
        <v>45730</v>
      </c>
      <c r="F127" s="55">
        <f t="shared" si="55"/>
        <v>454709.17000000016</v>
      </c>
      <c r="G127" s="55">
        <f t="shared" si="56"/>
        <v>477574.17000000016</v>
      </c>
      <c r="H127" s="355">
        <f t="shared" si="57"/>
        <v>102857.9411804985</v>
      </c>
      <c r="I127" s="381">
        <f t="shared" si="58"/>
        <v>102857.9411804985</v>
      </c>
      <c r="J127" s="54">
        <f t="shared" si="38"/>
        <v>0</v>
      </c>
      <c r="K127" s="54"/>
      <c r="L127" s="115"/>
      <c r="M127" s="54">
        <f t="shared" si="31"/>
        <v>0</v>
      </c>
      <c r="N127" s="115"/>
      <c r="O127" s="54">
        <f t="shared" si="32"/>
        <v>0</v>
      </c>
      <c r="P127" s="54">
        <f t="shared" si="33"/>
        <v>0</v>
      </c>
    </row>
    <row r="128" spans="2:16">
      <c r="B128" s="7" t="str">
        <f t="shared" si="37"/>
        <v/>
      </c>
      <c r="C128" s="50">
        <f>IF(D93="","-",+C127+1)</f>
        <v>2044</v>
      </c>
      <c r="D128" s="12">
        <f>IF(F127+SUM(E$99:E127)=D$92,F127,D$92-SUM(E$99:E127))</f>
        <v>454709.17000000016</v>
      </c>
      <c r="E128" s="354">
        <f t="shared" si="54"/>
        <v>45730</v>
      </c>
      <c r="F128" s="55">
        <f t="shared" si="55"/>
        <v>408979.17000000016</v>
      </c>
      <c r="G128" s="55">
        <f t="shared" si="56"/>
        <v>431844.17000000016</v>
      </c>
      <c r="H128" s="355">
        <f t="shared" si="57"/>
        <v>97387.668887120089</v>
      </c>
      <c r="I128" s="381">
        <f t="shared" si="58"/>
        <v>97387.668887120089</v>
      </c>
      <c r="J128" s="54">
        <f t="shared" si="38"/>
        <v>0</v>
      </c>
      <c r="K128" s="54"/>
      <c r="L128" s="115"/>
      <c r="M128" s="54">
        <f t="shared" si="31"/>
        <v>0</v>
      </c>
      <c r="N128" s="115"/>
      <c r="O128" s="54">
        <f t="shared" si="32"/>
        <v>0</v>
      </c>
      <c r="P128" s="54">
        <f t="shared" si="33"/>
        <v>0</v>
      </c>
    </row>
    <row r="129" spans="2:16">
      <c r="B129" s="7" t="str">
        <f t="shared" si="37"/>
        <v/>
      </c>
      <c r="C129" s="50">
        <f>IF(D93="","-",+C128+1)</f>
        <v>2045</v>
      </c>
      <c r="D129" s="12">
        <f>IF(F128+SUM(E$99:E128)=D$92,F128,D$92-SUM(E$99:E128))</f>
        <v>408979.17000000016</v>
      </c>
      <c r="E129" s="354">
        <f t="shared" si="54"/>
        <v>45730</v>
      </c>
      <c r="F129" s="55">
        <f t="shared" si="55"/>
        <v>363249.17000000016</v>
      </c>
      <c r="G129" s="55">
        <f t="shared" si="56"/>
        <v>386114.17000000016</v>
      </c>
      <c r="H129" s="355">
        <f t="shared" si="57"/>
        <v>91917.396593741665</v>
      </c>
      <c r="I129" s="381">
        <f t="shared" si="58"/>
        <v>91917.396593741665</v>
      </c>
      <c r="J129" s="54">
        <f t="shared" si="38"/>
        <v>0</v>
      </c>
      <c r="K129" s="54"/>
      <c r="L129" s="115"/>
      <c r="M129" s="54">
        <f t="shared" si="31"/>
        <v>0</v>
      </c>
      <c r="N129" s="115"/>
      <c r="O129" s="54">
        <f t="shared" si="32"/>
        <v>0</v>
      </c>
      <c r="P129" s="54">
        <f t="shared" si="33"/>
        <v>0</v>
      </c>
    </row>
    <row r="130" spans="2:16">
      <c r="B130" s="7" t="str">
        <f t="shared" si="37"/>
        <v/>
      </c>
      <c r="C130" s="50">
        <f>IF(D93="","-",+C129+1)</f>
        <v>2046</v>
      </c>
      <c r="D130" s="12">
        <f>IF(F129+SUM(E$99:E129)=D$92,F129,D$92-SUM(E$99:E129))</f>
        <v>363249.17000000016</v>
      </c>
      <c r="E130" s="354">
        <f t="shared" si="54"/>
        <v>45730</v>
      </c>
      <c r="F130" s="55">
        <f t="shared" si="55"/>
        <v>317519.17000000016</v>
      </c>
      <c r="G130" s="55">
        <f t="shared" si="56"/>
        <v>340384.17000000016</v>
      </c>
      <c r="H130" s="355">
        <f t="shared" si="57"/>
        <v>86447.124300363241</v>
      </c>
      <c r="I130" s="381">
        <f t="shared" si="58"/>
        <v>86447.124300363241</v>
      </c>
      <c r="J130" s="54">
        <f t="shared" si="38"/>
        <v>0</v>
      </c>
      <c r="K130" s="54"/>
      <c r="L130" s="115"/>
      <c r="M130" s="54">
        <f t="shared" si="31"/>
        <v>0</v>
      </c>
      <c r="N130" s="115"/>
      <c r="O130" s="54">
        <f t="shared" si="32"/>
        <v>0</v>
      </c>
      <c r="P130" s="54">
        <f t="shared" si="33"/>
        <v>0</v>
      </c>
    </row>
    <row r="131" spans="2:16">
      <c r="B131" s="7" t="str">
        <f t="shared" si="37"/>
        <v/>
      </c>
      <c r="C131" s="50">
        <f>IF(D93="","-",+C130+1)</f>
        <v>2047</v>
      </c>
      <c r="D131" s="12">
        <f>IF(F130+SUM(E$99:E130)=D$92,F130,D$92-SUM(E$99:E130))</f>
        <v>317519.17000000016</v>
      </c>
      <c r="E131" s="354">
        <f t="shared" si="54"/>
        <v>45730</v>
      </c>
      <c r="F131" s="55">
        <f t="shared" si="55"/>
        <v>271789.17000000016</v>
      </c>
      <c r="G131" s="55">
        <f t="shared" si="56"/>
        <v>294654.17000000016</v>
      </c>
      <c r="H131" s="355">
        <f t="shared" si="57"/>
        <v>80976.852006984816</v>
      </c>
      <c r="I131" s="381">
        <f t="shared" si="58"/>
        <v>80976.852006984816</v>
      </c>
      <c r="J131" s="54">
        <f t="shared" si="38"/>
        <v>0</v>
      </c>
      <c r="K131" s="54"/>
      <c r="L131" s="115"/>
      <c r="M131" s="54">
        <f t="shared" ref="M131:M154" si="59">IF(L541&lt;&gt;0,+H541-L541,0)</f>
        <v>0</v>
      </c>
      <c r="N131" s="115"/>
      <c r="O131" s="54">
        <f t="shared" ref="O131:O154" si="60">IF(N541&lt;&gt;0,+I541-N541,0)</f>
        <v>0</v>
      </c>
      <c r="P131" s="54">
        <f t="shared" ref="P131:P154" si="61">+O541-M541</f>
        <v>0</v>
      </c>
    </row>
    <row r="132" spans="2:16">
      <c r="B132" s="7" t="str">
        <f t="shared" si="37"/>
        <v/>
      </c>
      <c r="C132" s="50">
        <f>IF(D93="","-",+C131+1)</f>
        <v>2048</v>
      </c>
      <c r="D132" s="12">
        <f>IF(F131+SUM(E$99:E131)=D$92,F131,D$92-SUM(E$99:E131))</f>
        <v>271789.17000000016</v>
      </c>
      <c r="E132" s="354">
        <f t="shared" si="54"/>
        <v>45730</v>
      </c>
      <c r="F132" s="55">
        <f t="shared" si="55"/>
        <v>226059.17000000016</v>
      </c>
      <c r="G132" s="55">
        <f t="shared" si="56"/>
        <v>248924.17000000016</v>
      </c>
      <c r="H132" s="355">
        <f t="shared" si="57"/>
        <v>75506.579713606392</v>
      </c>
      <c r="I132" s="381">
        <f t="shared" si="58"/>
        <v>75506.579713606392</v>
      </c>
      <c r="J132" s="54">
        <f t="shared" si="38"/>
        <v>0</v>
      </c>
      <c r="K132" s="54"/>
      <c r="L132" s="115"/>
      <c r="M132" s="54">
        <f t="shared" si="59"/>
        <v>0</v>
      </c>
      <c r="N132" s="115"/>
      <c r="O132" s="54">
        <f t="shared" si="60"/>
        <v>0</v>
      </c>
      <c r="P132" s="54">
        <f t="shared" si="61"/>
        <v>0</v>
      </c>
    </row>
    <row r="133" spans="2:16">
      <c r="B133" s="7" t="str">
        <f t="shared" si="37"/>
        <v/>
      </c>
      <c r="C133" s="50">
        <f>IF(D93="","-",+C132+1)</f>
        <v>2049</v>
      </c>
      <c r="D133" s="12">
        <f>IF(F132+SUM(E$99:E132)=D$92,F132,D$92-SUM(E$99:E132))</f>
        <v>226059.17000000016</v>
      </c>
      <c r="E133" s="354">
        <f t="shared" si="54"/>
        <v>45730</v>
      </c>
      <c r="F133" s="55">
        <f t="shared" si="55"/>
        <v>180329.17000000016</v>
      </c>
      <c r="G133" s="55">
        <f t="shared" si="56"/>
        <v>203194.17000000016</v>
      </c>
      <c r="H133" s="355">
        <f t="shared" si="57"/>
        <v>70036.307420227982</v>
      </c>
      <c r="I133" s="381">
        <f t="shared" si="58"/>
        <v>70036.307420227982</v>
      </c>
      <c r="J133" s="54">
        <f t="shared" si="38"/>
        <v>0</v>
      </c>
      <c r="K133" s="54"/>
      <c r="L133" s="115"/>
      <c r="M133" s="54">
        <f t="shared" si="59"/>
        <v>0</v>
      </c>
      <c r="N133" s="115"/>
      <c r="O133" s="54">
        <f t="shared" si="60"/>
        <v>0</v>
      </c>
      <c r="P133" s="54">
        <f t="shared" si="61"/>
        <v>0</v>
      </c>
    </row>
    <row r="134" spans="2:16">
      <c r="B134" s="7" t="str">
        <f t="shared" si="37"/>
        <v/>
      </c>
      <c r="C134" s="50">
        <f>IF(D93="","-",+C133+1)</f>
        <v>2050</v>
      </c>
      <c r="D134" s="12">
        <f>IF(F133+SUM(E$99:E133)=D$92,F133,D$92-SUM(E$99:E133))</f>
        <v>180329.17000000016</v>
      </c>
      <c r="E134" s="354">
        <f t="shared" si="54"/>
        <v>45730</v>
      </c>
      <c r="F134" s="55">
        <f t="shared" si="55"/>
        <v>134599.17000000016</v>
      </c>
      <c r="G134" s="55">
        <f t="shared" si="56"/>
        <v>157464.17000000016</v>
      </c>
      <c r="H134" s="355">
        <f t="shared" si="57"/>
        <v>64566.035126849558</v>
      </c>
      <c r="I134" s="381">
        <f t="shared" si="58"/>
        <v>64566.035126849558</v>
      </c>
      <c r="J134" s="54">
        <f t="shared" si="38"/>
        <v>0</v>
      </c>
      <c r="K134" s="54"/>
      <c r="L134" s="115"/>
      <c r="M134" s="54">
        <f t="shared" si="59"/>
        <v>0</v>
      </c>
      <c r="N134" s="115"/>
      <c r="O134" s="54">
        <f t="shared" si="60"/>
        <v>0</v>
      </c>
      <c r="P134" s="54">
        <f t="shared" si="61"/>
        <v>0</v>
      </c>
    </row>
    <row r="135" spans="2:16">
      <c r="B135" s="7" t="str">
        <f t="shared" si="37"/>
        <v/>
      </c>
      <c r="C135" s="50">
        <f>IF(D93="","-",+C134+1)</f>
        <v>2051</v>
      </c>
      <c r="D135" s="12">
        <f>IF(F134+SUM(E$99:E134)=D$92,F134,D$92-SUM(E$99:E134))</f>
        <v>134599.17000000016</v>
      </c>
      <c r="E135" s="354">
        <f t="shared" si="54"/>
        <v>45730</v>
      </c>
      <c r="F135" s="55">
        <f t="shared" si="55"/>
        <v>88869.170000000158</v>
      </c>
      <c r="G135" s="55">
        <f t="shared" si="56"/>
        <v>111734.17000000016</v>
      </c>
      <c r="H135" s="355">
        <f t="shared" si="57"/>
        <v>59095.762833471141</v>
      </c>
      <c r="I135" s="381">
        <f t="shared" si="58"/>
        <v>59095.762833471141</v>
      </c>
      <c r="J135" s="54">
        <f t="shared" si="38"/>
        <v>0</v>
      </c>
      <c r="K135" s="54"/>
      <c r="L135" s="115"/>
      <c r="M135" s="54">
        <f t="shared" si="59"/>
        <v>0</v>
      </c>
      <c r="N135" s="115"/>
      <c r="O135" s="54">
        <f t="shared" si="60"/>
        <v>0</v>
      </c>
      <c r="P135" s="54">
        <f t="shared" si="61"/>
        <v>0</v>
      </c>
    </row>
    <row r="136" spans="2:16">
      <c r="B136" s="7" t="str">
        <f t="shared" si="37"/>
        <v/>
      </c>
      <c r="C136" s="50">
        <f>IF(D93="","-",+C135+1)</f>
        <v>2052</v>
      </c>
      <c r="D136" s="12">
        <f>IF(F135+SUM(E$99:E135)=D$92,F135,D$92-SUM(E$99:E135))</f>
        <v>88869.170000000158</v>
      </c>
      <c r="E136" s="354">
        <f t="shared" si="54"/>
        <v>45730</v>
      </c>
      <c r="F136" s="55">
        <f t="shared" si="55"/>
        <v>43139.170000000158</v>
      </c>
      <c r="G136" s="55">
        <f t="shared" si="56"/>
        <v>66004.170000000158</v>
      </c>
      <c r="H136" s="355">
        <f t="shared" si="57"/>
        <v>53625.490540092716</v>
      </c>
      <c r="I136" s="381">
        <f t="shared" si="58"/>
        <v>53625.490540092716</v>
      </c>
      <c r="J136" s="54">
        <f t="shared" si="38"/>
        <v>0</v>
      </c>
      <c r="K136" s="54"/>
      <c r="L136" s="115"/>
      <c r="M136" s="54">
        <f t="shared" si="59"/>
        <v>0</v>
      </c>
      <c r="N136" s="115"/>
      <c r="O136" s="54">
        <f t="shared" si="60"/>
        <v>0</v>
      </c>
      <c r="P136" s="54">
        <f t="shared" si="61"/>
        <v>0</v>
      </c>
    </row>
    <row r="137" spans="2:16">
      <c r="B137" s="7" t="str">
        <f t="shared" si="37"/>
        <v/>
      </c>
      <c r="C137" s="50">
        <f>IF(D93="","-",+C136+1)</f>
        <v>2053</v>
      </c>
      <c r="D137" s="12">
        <f>IF(F136+SUM(E$99:E136)=D$92,F136,D$92-SUM(E$99:E136))</f>
        <v>43139.170000000158</v>
      </c>
      <c r="E137" s="354">
        <f t="shared" si="54"/>
        <v>43139.170000000158</v>
      </c>
      <c r="F137" s="55">
        <f t="shared" si="55"/>
        <v>0</v>
      </c>
      <c r="G137" s="55">
        <f t="shared" si="56"/>
        <v>21569.585000000079</v>
      </c>
      <c r="H137" s="355">
        <f t="shared" si="57"/>
        <v>45719.347196701914</v>
      </c>
      <c r="I137" s="381">
        <f t="shared" si="58"/>
        <v>45719.347196701914</v>
      </c>
      <c r="J137" s="54">
        <f t="shared" si="38"/>
        <v>0</v>
      </c>
      <c r="K137" s="54"/>
      <c r="L137" s="115"/>
      <c r="M137" s="54">
        <f t="shared" si="59"/>
        <v>0</v>
      </c>
      <c r="N137" s="115"/>
      <c r="O137" s="54">
        <f t="shared" si="60"/>
        <v>0</v>
      </c>
      <c r="P137" s="54">
        <f t="shared" si="61"/>
        <v>0</v>
      </c>
    </row>
    <row r="138" spans="2:16">
      <c r="B138" s="7" t="str">
        <f t="shared" si="37"/>
        <v/>
      </c>
      <c r="C138" s="50">
        <f>IF(D93="","-",+C137+1)</f>
        <v>2054</v>
      </c>
      <c r="D138" s="12">
        <f>IF(F137+SUM(E$99:E137)=D$92,F137,D$92-SUM(E$99:E137))</f>
        <v>0</v>
      </c>
      <c r="E138" s="354">
        <f t="shared" si="54"/>
        <v>0</v>
      </c>
      <c r="F138" s="55">
        <f t="shared" si="55"/>
        <v>0</v>
      </c>
      <c r="G138" s="55">
        <f t="shared" si="56"/>
        <v>0</v>
      </c>
      <c r="H138" s="355">
        <f t="shared" si="57"/>
        <v>0</v>
      </c>
      <c r="I138" s="381">
        <f t="shared" si="58"/>
        <v>0</v>
      </c>
      <c r="J138" s="54">
        <f t="shared" si="38"/>
        <v>0</v>
      </c>
      <c r="K138" s="54"/>
      <c r="L138" s="115"/>
      <c r="M138" s="54">
        <f t="shared" si="59"/>
        <v>0</v>
      </c>
      <c r="N138" s="115"/>
      <c r="O138" s="54">
        <f t="shared" si="60"/>
        <v>0</v>
      </c>
      <c r="P138" s="54">
        <f t="shared" si="61"/>
        <v>0</v>
      </c>
    </row>
    <row r="139" spans="2:16">
      <c r="B139" s="7" t="str">
        <f t="shared" si="37"/>
        <v/>
      </c>
      <c r="C139" s="50">
        <f>IF(D93="","-",+C138+1)</f>
        <v>2055</v>
      </c>
      <c r="D139" s="12">
        <f>IF(F138+SUM(E$99:E138)=D$92,F138,D$92-SUM(E$99:E138))</f>
        <v>0</v>
      </c>
      <c r="E139" s="354">
        <f t="shared" si="54"/>
        <v>0</v>
      </c>
      <c r="F139" s="55">
        <f t="shared" si="55"/>
        <v>0</v>
      </c>
      <c r="G139" s="55">
        <f t="shared" si="56"/>
        <v>0</v>
      </c>
      <c r="H139" s="355">
        <f t="shared" si="57"/>
        <v>0</v>
      </c>
      <c r="I139" s="381">
        <f t="shared" si="58"/>
        <v>0</v>
      </c>
      <c r="J139" s="54">
        <f t="shared" si="38"/>
        <v>0</v>
      </c>
      <c r="K139" s="54"/>
      <c r="L139" s="115"/>
      <c r="M139" s="54">
        <f t="shared" si="59"/>
        <v>0</v>
      </c>
      <c r="N139" s="115"/>
      <c r="O139" s="54">
        <f t="shared" si="60"/>
        <v>0</v>
      </c>
      <c r="P139" s="54">
        <f t="shared" si="61"/>
        <v>0</v>
      </c>
    </row>
    <row r="140" spans="2:16">
      <c r="B140" s="7" t="str">
        <f t="shared" si="37"/>
        <v/>
      </c>
      <c r="C140" s="50">
        <f>IF(D93="","-",+C139+1)</f>
        <v>2056</v>
      </c>
      <c r="D140" s="12">
        <f>IF(F139+SUM(E$99:E139)=D$92,F139,D$92-SUM(E$99:E139))</f>
        <v>0</v>
      </c>
      <c r="E140" s="354">
        <f t="shared" si="54"/>
        <v>0</v>
      </c>
      <c r="F140" s="55">
        <f t="shared" si="55"/>
        <v>0</v>
      </c>
      <c r="G140" s="55">
        <f t="shared" si="56"/>
        <v>0</v>
      </c>
      <c r="H140" s="355">
        <f t="shared" si="57"/>
        <v>0</v>
      </c>
      <c r="I140" s="381">
        <f t="shared" si="58"/>
        <v>0</v>
      </c>
      <c r="J140" s="54">
        <f t="shared" si="38"/>
        <v>0</v>
      </c>
      <c r="K140" s="54"/>
      <c r="L140" s="115"/>
      <c r="M140" s="54">
        <f t="shared" si="59"/>
        <v>0</v>
      </c>
      <c r="N140" s="115"/>
      <c r="O140" s="54">
        <f t="shared" si="60"/>
        <v>0</v>
      </c>
      <c r="P140" s="54">
        <f t="shared" si="61"/>
        <v>0</v>
      </c>
    </row>
    <row r="141" spans="2:16">
      <c r="B141" s="7" t="str">
        <f t="shared" si="37"/>
        <v/>
      </c>
      <c r="C141" s="50">
        <f>IF(D93="","-",+C140+1)</f>
        <v>2057</v>
      </c>
      <c r="D141" s="12">
        <f>IF(F140+SUM(E$99:E140)=D$92,F140,D$92-SUM(E$99:E140))</f>
        <v>0</v>
      </c>
      <c r="E141" s="354">
        <f t="shared" si="54"/>
        <v>0</v>
      </c>
      <c r="F141" s="55">
        <f t="shared" si="55"/>
        <v>0</v>
      </c>
      <c r="G141" s="55">
        <f t="shared" si="56"/>
        <v>0</v>
      </c>
      <c r="H141" s="355">
        <f t="shared" si="57"/>
        <v>0</v>
      </c>
      <c r="I141" s="381">
        <f t="shared" si="58"/>
        <v>0</v>
      </c>
      <c r="J141" s="54">
        <f t="shared" si="38"/>
        <v>0</v>
      </c>
      <c r="K141" s="54"/>
      <c r="L141" s="115"/>
      <c r="M141" s="54">
        <f t="shared" si="59"/>
        <v>0</v>
      </c>
      <c r="N141" s="115"/>
      <c r="O141" s="54">
        <f t="shared" si="60"/>
        <v>0</v>
      </c>
      <c r="P141" s="54">
        <f t="shared" si="61"/>
        <v>0</v>
      </c>
    </row>
    <row r="142" spans="2:16">
      <c r="B142" s="7" t="str">
        <f t="shared" si="37"/>
        <v/>
      </c>
      <c r="C142" s="50">
        <f>IF(D93="","-",+C141+1)</f>
        <v>2058</v>
      </c>
      <c r="D142" s="12">
        <f>IF(F141+SUM(E$99:E141)=D$92,F141,D$92-SUM(E$99:E141))</f>
        <v>0</v>
      </c>
      <c r="E142" s="354">
        <f t="shared" si="54"/>
        <v>0</v>
      </c>
      <c r="F142" s="55">
        <f t="shared" si="55"/>
        <v>0</v>
      </c>
      <c r="G142" s="55">
        <f t="shared" si="56"/>
        <v>0</v>
      </c>
      <c r="H142" s="355">
        <f t="shared" si="57"/>
        <v>0</v>
      </c>
      <c r="I142" s="381">
        <f t="shared" si="58"/>
        <v>0</v>
      </c>
      <c r="J142" s="54">
        <f t="shared" si="38"/>
        <v>0</v>
      </c>
      <c r="K142" s="54"/>
      <c r="L142" s="115"/>
      <c r="M142" s="54">
        <f t="shared" si="59"/>
        <v>0</v>
      </c>
      <c r="N142" s="115"/>
      <c r="O142" s="54">
        <f t="shared" si="60"/>
        <v>0</v>
      </c>
      <c r="P142" s="54">
        <f t="shared" si="61"/>
        <v>0</v>
      </c>
    </row>
    <row r="143" spans="2:16">
      <c r="B143" s="7" t="str">
        <f t="shared" si="37"/>
        <v/>
      </c>
      <c r="C143" s="50">
        <f>IF(D93="","-",+C142+1)</f>
        <v>2059</v>
      </c>
      <c r="D143" s="12">
        <f>IF(F142+SUM(E$99:E142)=D$92,F142,D$92-SUM(E$99:E142))</f>
        <v>0</v>
      </c>
      <c r="E143" s="354">
        <f t="shared" si="54"/>
        <v>0</v>
      </c>
      <c r="F143" s="55">
        <f t="shared" si="55"/>
        <v>0</v>
      </c>
      <c r="G143" s="55">
        <f t="shared" si="56"/>
        <v>0</v>
      </c>
      <c r="H143" s="355">
        <f t="shared" si="57"/>
        <v>0</v>
      </c>
      <c r="I143" s="381">
        <f t="shared" si="58"/>
        <v>0</v>
      </c>
      <c r="J143" s="54">
        <f t="shared" si="38"/>
        <v>0</v>
      </c>
      <c r="K143" s="54"/>
      <c r="L143" s="115"/>
      <c r="M143" s="54">
        <f t="shared" si="59"/>
        <v>0</v>
      </c>
      <c r="N143" s="115"/>
      <c r="O143" s="54">
        <f t="shared" si="60"/>
        <v>0</v>
      </c>
      <c r="P143" s="54">
        <f t="shared" si="61"/>
        <v>0</v>
      </c>
    </row>
    <row r="144" spans="2:16">
      <c r="B144" s="7" t="str">
        <f t="shared" si="37"/>
        <v/>
      </c>
      <c r="C144" s="50">
        <f>IF(D93="","-",+C143+1)</f>
        <v>2060</v>
      </c>
      <c r="D144" s="12">
        <f>IF(F143+SUM(E$99:E143)=D$92,F143,D$92-SUM(E$99:E143))</f>
        <v>0</v>
      </c>
      <c r="E144" s="354">
        <f t="shared" si="54"/>
        <v>0</v>
      </c>
      <c r="F144" s="55">
        <f t="shared" si="55"/>
        <v>0</v>
      </c>
      <c r="G144" s="55">
        <f t="shared" si="56"/>
        <v>0</v>
      </c>
      <c r="H144" s="355">
        <f t="shared" si="57"/>
        <v>0</v>
      </c>
      <c r="I144" s="381">
        <f t="shared" si="58"/>
        <v>0</v>
      </c>
      <c r="J144" s="54">
        <f t="shared" si="38"/>
        <v>0</v>
      </c>
      <c r="K144" s="54"/>
      <c r="L144" s="115"/>
      <c r="M144" s="54">
        <f t="shared" si="59"/>
        <v>0</v>
      </c>
      <c r="N144" s="115"/>
      <c r="O144" s="54">
        <f t="shared" si="60"/>
        <v>0</v>
      </c>
      <c r="P144" s="54">
        <f t="shared" si="61"/>
        <v>0</v>
      </c>
    </row>
    <row r="145" spans="2:16">
      <c r="B145" s="7" t="str">
        <f t="shared" si="37"/>
        <v/>
      </c>
      <c r="C145" s="50">
        <f>IF(D93="","-",+C144+1)</f>
        <v>2061</v>
      </c>
      <c r="D145" s="12">
        <f>IF(F144+SUM(E$99:E144)=D$92,F144,D$92-SUM(E$99:E144))</f>
        <v>0</v>
      </c>
      <c r="E145" s="354">
        <f t="shared" si="54"/>
        <v>0</v>
      </c>
      <c r="F145" s="55">
        <f t="shared" si="55"/>
        <v>0</v>
      </c>
      <c r="G145" s="55">
        <f t="shared" si="56"/>
        <v>0</v>
      </c>
      <c r="H145" s="355">
        <f t="shared" si="57"/>
        <v>0</v>
      </c>
      <c r="I145" s="381">
        <f t="shared" si="58"/>
        <v>0</v>
      </c>
      <c r="J145" s="54">
        <f t="shared" si="38"/>
        <v>0</v>
      </c>
      <c r="K145" s="54"/>
      <c r="L145" s="115"/>
      <c r="M145" s="54">
        <f t="shared" si="59"/>
        <v>0</v>
      </c>
      <c r="N145" s="115"/>
      <c r="O145" s="54">
        <f t="shared" si="60"/>
        <v>0</v>
      </c>
      <c r="P145" s="54">
        <f t="shared" si="61"/>
        <v>0</v>
      </c>
    </row>
    <row r="146" spans="2:16">
      <c r="B146" s="7" t="str">
        <f t="shared" si="37"/>
        <v/>
      </c>
      <c r="C146" s="50">
        <f>IF(D93="","-",+C145+1)</f>
        <v>2062</v>
      </c>
      <c r="D146" s="12">
        <f>IF(F145+SUM(E$99:E145)=D$92,F145,D$92-SUM(E$99:E145))</f>
        <v>0</v>
      </c>
      <c r="E146" s="354">
        <f t="shared" si="54"/>
        <v>0</v>
      </c>
      <c r="F146" s="55">
        <f t="shared" si="55"/>
        <v>0</v>
      </c>
      <c r="G146" s="55">
        <f t="shared" si="56"/>
        <v>0</v>
      </c>
      <c r="H146" s="355">
        <f t="shared" si="57"/>
        <v>0</v>
      </c>
      <c r="I146" s="381">
        <f t="shared" si="58"/>
        <v>0</v>
      </c>
      <c r="J146" s="54">
        <f t="shared" si="38"/>
        <v>0</v>
      </c>
      <c r="K146" s="54"/>
      <c r="L146" s="115"/>
      <c r="M146" s="54">
        <f t="shared" si="59"/>
        <v>0</v>
      </c>
      <c r="N146" s="115"/>
      <c r="O146" s="54">
        <f t="shared" si="60"/>
        <v>0</v>
      </c>
      <c r="P146" s="54">
        <f t="shared" si="61"/>
        <v>0</v>
      </c>
    </row>
    <row r="147" spans="2:16">
      <c r="B147" s="7" t="str">
        <f t="shared" si="37"/>
        <v/>
      </c>
      <c r="C147" s="50">
        <f>IF(D93="","-",+C146+1)</f>
        <v>2063</v>
      </c>
      <c r="D147" s="12">
        <f>IF(F146+SUM(E$99:E146)=D$92,F146,D$92-SUM(E$99:E146))</f>
        <v>0</v>
      </c>
      <c r="E147" s="354">
        <f t="shared" si="54"/>
        <v>0</v>
      </c>
      <c r="F147" s="55">
        <f t="shared" si="55"/>
        <v>0</v>
      </c>
      <c r="G147" s="55">
        <f t="shared" si="56"/>
        <v>0</v>
      </c>
      <c r="H147" s="355">
        <f t="shared" si="57"/>
        <v>0</v>
      </c>
      <c r="I147" s="381">
        <f t="shared" si="58"/>
        <v>0</v>
      </c>
      <c r="J147" s="54">
        <f t="shared" si="38"/>
        <v>0</v>
      </c>
      <c r="K147" s="54"/>
      <c r="L147" s="115"/>
      <c r="M147" s="54">
        <f t="shared" si="59"/>
        <v>0</v>
      </c>
      <c r="N147" s="115"/>
      <c r="O147" s="54">
        <f t="shared" si="60"/>
        <v>0</v>
      </c>
      <c r="P147" s="54">
        <f t="shared" si="61"/>
        <v>0</v>
      </c>
    </row>
    <row r="148" spans="2:16">
      <c r="B148" s="7" t="str">
        <f t="shared" si="37"/>
        <v/>
      </c>
      <c r="C148" s="50">
        <f>IF(D93="","-",+C147+1)</f>
        <v>2064</v>
      </c>
      <c r="D148" s="12">
        <f>IF(F147+SUM(E$99:E147)=D$92,F147,D$92-SUM(E$99:E147))</f>
        <v>0</v>
      </c>
      <c r="E148" s="354">
        <f t="shared" si="54"/>
        <v>0</v>
      </c>
      <c r="F148" s="55">
        <f t="shared" si="55"/>
        <v>0</v>
      </c>
      <c r="G148" s="55">
        <f t="shared" si="56"/>
        <v>0</v>
      </c>
      <c r="H148" s="355">
        <f t="shared" si="57"/>
        <v>0</v>
      </c>
      <c r="I148" s="381">
        <f t="shared" si="58"/>
        <v>0</v>
      </c>
      <c r="J148" s="54">
        <f t="shared" si="38"/>
        <v>0</v>
      </c>
      <c r="K148" s="54"/>
      <c r="L148" s="115"/>
      <c r="M148" s="54">
        <f t="shared" si="59"/>
        <v>0</v>
      </c>
      <c r="N148" s="115"/>
      <c r="O148" s="54">
        <f t="shared" si="60"/>
        <v>0</v>
      </c>
      <c r="P148" s="54">
        <f t="shared" si="61"/>
        <v>0</v>
      </c>
    </row>
    <row r="149" spans="2:16">
      <c r="B149" s="7" t="str">
        <f t="shared" si="37"/>
        <v/>
      </c>
      <c r="C149" s="50">
        <f>IF(D93="","-",+C148+1)</f>
        <v>2065</v>
      </c>
      <c r="D149" s="12">
        <f>IF(F148+SUM(E$99:E148)=D$92,F148,D$92-SUM(E$99:E148))</f>
        <v>0</v>
      </c>
      <c r="E149" s="354">
        <f t="shared" si="54"/>
        <v>0</v>
      </c>
      <c r="F149" s="55">
        <f t="shared" si="55"/>
        <v>0</v>
      </c>
      <c r="G149" s="55">
        <f t="shared" si="56"/>
        <v>0</v>
      </c>
      <c r="H149" s="355">
        <f t="shared" si="57"/>
        <v>0</v>
      </c>
      <c r="I149" s="381">
        <f t="shared" si="58"/>
        <v>0</v>
      </c>
      <c r="J149" s="54">
        <f t="shared" si="38"/>
        <v>0</v>
      </c>
      <c r="K149" s="54"/>
      <c r="L149" s="115"/>
      <c r="M149" s="54">
        <f t="shared" si="59"/>
        <v>0</v>
      </c>
      <c r="N149" s="115"/>
      <c r="O149" s="54">
        <f t="shared" si="60"/>
        <v>0</v>
      </c>
      <c r="P149" s="54">
        <f t="shared" si="61"/>
        <v>0</v>
      </c>
    </row>
    <row r="150" spans="2:16">
      <c r="B150" s="7" t="str">
        <f t="shared" si="37"/>
        <v/>
      </c>
      <c r="C150" s="50">
        <f>IF(D93="","-",+C149+1)</f>
        <v>2066</v>
      </c>
      <c r="D150" s="12">
        <f>IF(F149+SUM(E$99:E149)=D$92,F149,D$92-SUM(E$99:E149))</f>
        <v>0</v>
      </c>
      <c r="E150" s="354">
        <f t="shared" si="54"/>
        <v>0</v>
      </c>
      <c r="F150" s="55">
        <f t="shared" si="55"/>
        <v>0</v>
      </c>
      <c r="G150" s="55">
        <f t="shared" si="56"/>
        <v>0</v>
      </c>
      <c r="H150" s="355">
        <f t="shared" si="57"/>
        <v>0</v>
      </c>
      <c r="I150" s="381">
        <f t="shared" si="58"/>
        <v>0</v>
      </c>
      <c r="J150" s="54">
        <f t="shared" si="38"/>
        <v>0</v>
      </c>
      <c r="K150" s="54"/>
      <c r="L150" s="115"/>
      <c r="M150" s="54">
        <f t="shared" si="59"/>
        <v>0</v>
      </c>
      <c r="N150" s="115"/>
      <c r="O150" s="54">
        <f t="shared" si="60"/>
        <v>0</v>
      </c>
      <c r="P150" s="54">
        <f t="shared" si="61"/>
        <v>0</v>
      </c>
    </row>
    <row r="151" spans="2:16">
      <c r="B151" s="7" t="str">
        <f t="shared" si="37"/>
        <v/>
      </c>
      <c r="C151" s="50">
        <f>IF(D93="","-",+C150+1)</f>
        <v>2067</v>
      </c>
      <c r="D151" s="12">
        <f>IF(F150+SUM(E$99:E150)=D$92,F150,D$92-SUM(E$99:E150))</f>
        <v>0</v>
      </c>
      <c r="E151" s="354">
        <f t="shared" si="54"/>
        <v>0</v>
      </c>
      <c r="F151" s="55">
        <f t="shared" si="55"/>
        <v>0</v>
      </c>
      <c r="G151" s="55">
        <f t="shared" si="56"/>
        <v>0</v>
      </c>
      <c r="H151" s="355">
        <f t="shared" si="57"/>
        <v>0</v>
      </c>
      <c r="I151" s="381">
        <f t="shared" si="58"/>
        <v>0</v>
      </c>
      <c r="J151" s="54">
        <f t="shared" si="38"/>
        <v>0</v>
      </c>
      <c r="K151" s="54"/>
      <c r="L151" s="115"/>
      <c r="M151" s="54">
        <f t="shared" si="59"/>
        <v>0</v>
      </c>
      <c r="N151" s="115"/>
      <c r="O151" s="54">
        <f t="shared" si="60"/>
        <v>0</v>
      </c>
      <c r="P151" s="54">
        <f t="shared" si="61"/>
        <v>0</v>
      </c>
    </row>
    <row r="152" spans="2:16">
      <c r="B152" s="7" t="str">
        <f t="shared" si="37"/>
        <v/>
      </c>
      <c r="C152" s="50">
        <f>IF(D93="","-",+C151+1)</f>
        <v>2068</v>
      </c>
      <c r="D152" s="12">
        <f>IF(F151+SUM(E$99:E151)=D$92,F151,D$92-SUM(E$99:E151))</f>
        <v>0</v>
      </c>
      <c r="E152" s="354">
        <f t="shared" si="54"/>
        <v>0</v>
      </c>
      <c r="F152" s="55">
        <f t="shared" si="55"/>
        <v>0</v>
      </c>
      <c r="G152" s="55">
        <f t="shared" si="56"/>
        <v>0</v>
      </c>
      <c r="H152" s="355">
        <f t="shared" si="57"/>
        <v>0</v>
      </c>
      <c r="I152" s="381">
        <f t="shared" si="58"/>
        <v>0</v>
      </c>
      <c r="J152" s="54">
        <f t="shared" si="38"/>
        <v>0</v>
      </c>
      <c r="K152" s="54"/>
      <c r="L152" s="115"/>
      <c r="M152" s="54">
        <f t="shared" si="59"/>
        <v>0</v>
      </c>
      <c r="N152" s="115"/>
      <c r="O152" s="54">
        <f t="shared" si="60"/>
        <v>0</v>
      </c>
      <c r="P152" s="54">
        <f t="shared" si="61"/>
        <v>0</v>
      </c>
    </row>
    <row r="153" spans="2:16">
      <c r="B153" s="7" t="str">
        <f t="shared" si="37"/>
        <v/>
      </c>
      <c r="C153" s="50">
        <f>IF(D93="","-",+C152+1)</f>
        <v>2069</v>
      </c>
      <c r="D153" s="12">
        <f>IF(F152+SUM(E$99:E152)=D$92,F152,D$92-SUM(E$99:E152))</f>
        <v>0</v>
      </c>
      <c r="E153" s="354">
        <f t="shared" si="54"/>
        <v>0</v>
      </c>
      <c r="F153" s="55">
        <f t="shared" si="55"/>
        <v>0</v>
      </c>
      <c r="G153" s="55">
        <f t="shared" si="56"/>
        <v>0</v>
      </c>
      <c r="H153" s="355">
        <f t="shared" si="57"/>
        <v>0</v>
      </c>
      <c r="I153" s="381">
        <f t="shared" si="58"/>
        <v>0</v>
      </c>
      <c r="J153" s="54">
        <f t="shared" si="38"/>
        <v>0</v>
      </c>
      <c r="K153" s="54"/>
      <c r="L153" s="115"/>
      <c r="M153" s="54">
        <f t="shared" si="59"/>
        <v>0</v>
      </c>
      <c r="N153" s="115"/>
      <c r="O153" s="54">
        <f t="shared" si="60"/>
        <v>0</v>
      </c>
      <c r="P153" s="54">
        <f t="shared" si="61"/>
        <v>0</v>
      </c>
    </row>
    <row r="154" spans="2:16" ht="13.5" thickBot="1">
      <c r="B154" s="7" t="str">
        <f t="shared" si="37"/>
        <v/>
      </c>
      <c r="C154" s="58">
        <f>IF(D93="","-",+C153+1)</f>
        <v>2070</v>
      </c>
      <c r="D154" s="403">
        <f>IF(F153+SUM(E$99:E153)=D$92,F153,D$92-SUM(E$99:E153))</f>
        <v>0</v>
      </c>
      <c r="E154" s="357">
        <f t="shared" si="54"/>
        <v>0</v>
      </c>
      <c r="F154" s="59">
        <f t="shared" si="55"/>
        <v>0</v>
      </c>
      <c r="G154" s="59">
        <f t="shared" si="56"/>
        <v>0</v>
      </c>
      <c r="H154" s="358">
        <f t="shared" ref="H154" si="62">+J$94*G154+E154</f>
        <v>0</v>
      </c>
      <c r="I154" s="383">
        <f t="shared" ref="I154" si="63">+J$95*G154+E154</f>
        <v>0</v>
      </c>
      <c r="J154" s="62">
        <f t="shared" si="38"/>
        <v>0</v>
      </c>
      <c r="K154" s="54"/>
      <c r="L154" s="116"/>
      <c r="M154" s="62">
        <f t="shared" si="59"/>
        <v>0</v>
      </c>
      <c r="N154" s="116"/>
      <c r="O154" s="62">
        <f t="shared" si="60"/>
        <v>0</v>
      </c>
      <c r="P154" s="62">
        <f t="shared" si="61"/>
        <v>0</v>
      </c>
    </row>
    <row r="155" spans="2:16">
      <c r="C155" s="12" t="s">
        <v>77</v>
      </c>
      <c r="D155" s="266"/>
      <c r="E155" s="266">
        <f>SUM(E99:E154)</f>
        <v>1692023.1700000002</v>
      </c>
      <c r="F155" s="266"/>
      <c r="G155" s="266"/>
      <c r="H155" s="266">
        <f>SUM(H99:H154)</f>
        <v>5683854.5955669014</v>
      </c>
      <c r="I155" s="266">
        <f>SUM(I99:I154)</f>
        <v>5683854.5955669014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theme="9" tint="-0.249977111117893"/>
  </sheetPr>
  <dimension ref="A1:P162"/>
  <sheetViews>
    <sheetView zoomScaleNormal="100" zoomScaleSheetLayoutView="80" workbookViewId="0">
      <selection activeCell="D104" sqref="D104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18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188643.76315789475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188643.76315789475</v>
      </c>
      <c r="O6" s="1"/>
      <c r="P6" s="1"/>
    </row>
    <row r="7" spans="1:16" ht="13.5" thickBot="1">
      <c r="C7" s="26" t="s">
        <v>46</v>
      </c>
      <c r="D7" s="88" t="s">
        <v>263</v>
      </c>
      <c r="E7" s="426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1" t="s">
        <v>266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268</v>
      </c>
      <c r="E9" s="404" t="s">
        <v>377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1725647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4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45411.76315789474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2014</v>
      </c>
      <c r="D17" s="405">
        <v>1725646.85</v>
      </c>
      <c r="E17" s="427">
        <v>22123.677564102563</v>
      </c>
      <c r="F17" s="405">
        <v>1703523.1724358976</v>
      </c>
      <c r="G17" s="427">
        <v>256628.57821434946</v>
      </c>
      <c r="H17" s="428">
        <v>256628.57821434946</v>
      </c>
      <c r="I17" s="52">
        <v>0</v>
      </c>
      <c r="J17" s="52"/>
      <c r="K17" s="350">
        <f t="shared" ref="K17:K22" si="0">G17</f>
        <v>256628.57821434946</v>
      </c>
      <c r="L17" s="63">
        <f t="shared" ref="L17:L22" si="1">IF(K17&lt;&gt;0,+G17-K17,0)</f>
        <v>0</v>
      </c>
      <c r="M17" s="350">
        <f t="shared" ref="M17:M22" si="2">H17</f>
        <v>256628.57821434946</v>
      </c>
      <c r="N17" s="54">
        <f>IF(M17&lt;&gt;0,+H17-M17,0)</f>
        <v>0</v>
      </c>
      <c r="O17" s="52">
        <f>+N17-L17</f>
        <v>0</v>
      </c>
      <c r="P17" s="1"/>
    </row>
    <row r="18" spans="2:16">
      <c r="B18" s="7" t="str">
        <f>IF(D18=F17,"","IU")</f>
        <v/>
      </c>
      <c r="C18" s="50">
        <f>IF(D11="","-",+C17+1)</f>
        <v>2015</v>
      </c>
      <c r="D18" s="405">
        <v>1703523.1724358976</v>
      </c>
      <c r="E18" s="406">
        <v>33185.516346153847</v>
      </c>
      <c r="F18" s="405">
        <v>1670337.6560897438</v>
      </c>
      <c r="G18" s="406">
        <v>263477.7363505594</v>
      </c>
      <c r="H18" s="428">
        <v>263477.7363505594</v>
      </c>
      <c r="I18" s="52">
        <v>0</v>
      </c>
      <c r="J18" s="52"/>
      <c r="K18" s="350">
        <f t="shared" si="0"/>
        <v>263477.7363505594</v>
      </c>
      <c r="L18" s="63">
        <f t="shared" si="1"/>
        <v>0</v>
      </c>
      <c r="M18" s="350">
        <f t="shared" si="2"/>
        <v>263477.7363505594</v>
      </c>
      <c r="N18" s="54">
        <f>IF(M18&lt;&gt;0,+H18-M18,0)</f>
        <v>0</v>
      </c>
      <c r="O18" s="52">
        <f>+N18-L18</f>
        <v>0</v>
      </c>
      <c r="P18" s="1"/>
    </row>
    <row r="19" spans="2:16">
      <c r="B19" s="7" t="str">
        <f>IF(D19=F18,"","IU")</f>
        <v/>
      </c>
      <c r="C19" s="50">
        <f>IF(D11="","-",+C18+1)</f>
        <v>2016</v>
      </c>
      <c r="D19" s="405">
        <v>1670337.6560897438</v>
      </c>
      <c r="E19" s="406">
        <v>33185.516346153847</v>
      </c>
      <c r="F19" s="405">
        <v>1637152.13974359</v>
      </c>
      <c r="G19" s="406">
        <v>247913.51634615386</v>
      </c>
      <c r="H19" s="428">
        <v>247913.51634615386</v>
      </c>
      <c r="I19" s="52">
        <f>H19-G19</f>
        <v>0</v>
      </c>
      <c r="J19" s="52"/>
      <c r="K19" s="350">
        <f t="shared" si="0"/>
        <v>247913.51634615386</v>
      </c>
      <c r="L19" s="63">
        <f t="shared" si="1"/>
        <v>0</v>
      </c>
      <c r="M19" s="350">
        <f t="shared" si="2"/>
        <v>247913.51634615386</v>
      </c>
      <c r="N19" s="54">
        <f>IF(M19&lt;&gt;0,+H19-M19,0)</f>
        <v>0</v>
      </c>
      <c r="O19" s="52">
        <f>+N19-L19</f>
        <v>0</v>
      </c>
      <c r="P19" s="1"/>
    </row>
    <row r="20" spans="2:16">
      <c r="B20" s="7" t="str">
        <f t="shared" ref="B20:B72" si="3">IF(D20=F19,"","IU")</f>
        <v>IU</v>
      </c>
      <c r="C20" s="50">
        <f>IF(D11="","-",+C19+1)</f>
        <v>2017</v>
      </c>
      <c r="D20" s="405">
        <v>1637152</v>
      </c>
      <c r="E20" s="406">
        <v>37514</v>
      </c>
      <c r="F20" s="405">
        <v>1599638</v>
      </c>
      <c r="G20" s="406">
        <v>241085</v>
      </c>
      <c r="H20" s="428">
        <v>241085</v>
      </c>
      <c r="I20" s="52">
        <f t="shared" ref="I20:I72" si="4">H20-G20</f>
        <v>0</v>
      </c>
      <c r="J20" s="52"/>
      <c r="K20" s="350">
        <f t="shared" si="0"/>
        <v>241085</v>
      </c>
      <c r="L20" s="63">
        <f t="shared" si="1"/>
        <v>0</v>
      </c>
      <c r="M20" s="350">
        <f t="shared" si="2"/>
        <v>241085</v>
      </c>
      <c r="N20" s="54">
        <f>IF(M20&lt;&gt;0,+H20-M20,0)</f>
        <v>0</v>
      </c>
      <c r="O20" s="52">
        <f>+N20-L20</f>
        <v>0</v>
      </c>
      <c r="P20" s="1"/>
    </row>
    <row r="21" spans="2:16">
      <c r="B21" s="7" t="str">
        <f t="shared" si="3"/>
        <v>IU</v>
      </c>
      <c r="C21" s="50">
        <f>IF(D11="","-",+C20+1)</f>
        <v>2018</v>
      </c>
      <c r="D21" s="405">
        <v>1599638.0777870682</v>
      </c>
      <c r="E21" s="406">
        <v>38347.707777777781</v>
      </c>
      <c r="F21" s="405">
        <v>1561290.3700092905</v>
      </c>
      <c r="G21" s="406">
        <v>227622.42905835263</v>
      </c>
      <c r="H21" s="428">
        <v>227622.42905835263</v>
      </c>
      <c r="I21" s="52">
        <f t="shared" si="4"/>
        <v>0</v>
      </c>
      <c r="J21" s="52"/>
      <c r="K21" s="350">
        <f t="shared" si="0"/>
        <v>227622.42905835263</v>
      </c>
      <c r="L21" s="63">
        <f t="shared" si="1"/>
        <v>0</v>
      </c>
      <c r="M21" s="350">
        <f t="shared" si="2"/>
        <v>227622.42905835263</v>
      </c>
      <c r="N21" s="54">
        <f>IF(M21&lt;&gt;0,+H21-M21,0)</f>
        <v>0</v>
      </c>
      <c r="O21" s="52">
        <f>+N21-L21</f>
        <v>0</v>
      </c>
      <c r="P21" s="1"/>
    </row>
    <row r="22" spans="2:16">
      <c r="B22" s="7" t="str">
        <f t="shared" si="3"/>
        <v/>
      </c>
      <c r="C22" s="50">
        <f>IF(D11="","-",+C21+1)</f>
        <v>2019</v>
      </c>
      <c r="D22" s="405">
        <v>1561290.3700092905</v>
      </c>
      <c r="E22" s="406">
        <v>43141.171249999999</v>
      </c>
      <c r="F22" s="405">
        <v>1518149.1987592906</v>
      </c>
      <c r="G22" s="406">
        <v>215061.09551654221</v>
      </c>
      <c r="H22" s="428">
        <v>215061.09551654221</v>
      </c>
      <c r="I22" s="52">
        <f t="shared" si="4"/>
        <v>0</v>
      </c>
      <c r="J22" s="52"/>
      <c r="K22" s="350">
        <f t="shared" si="0"/>
        <v>215061.09551654221</v>
      </c>
      <c r="L22" s="63">
        <f t="shared" si="1"/>
        <v>0</v>
      </c>
      <c r="M22" s="350">
        <f t="shared" si="2"/>
        <v>215061.09551654221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>
      <c r="B23" s="7" t="str">
        <f t="shared" si="3"/>
        <v>IU</v>
      </c>
      <c r="C23" s="50">
        <f>IF(D11="","-",+C22+1)</f>
        <v>2020</v>
      </c>
      <c r="D23" s="405">
        <v>1522942.7241880344</v>
      </c>
      <c r="E23" s="406">
        <v>41086.829761904766</v>
      </c>
      <c r="F23" s="405">
        <v>1481855.8944261298</v>
      </c>
      <c r="G23" s="406">
        <v>203353.13199328393</v>
      </c>
      <c r="H23" s="428">
        <v>203353.13199328393</v>
      </c>
      <c r="I23" s="52">
        <f t="shared" si="4"/>
        <v>0</v>
      </c>
      <c r="J23" s="52"/>
      <c r="K23" s="350">
        <f t="shared" ref="K23" si="7">G23</f>
        <v>203353.13199328393</v>
      </c>
      <c r="L23" s="63">
        <f t="shared" ref="L23" si="8">IF(K23&lt;&gt;0,+G23-K23,0)</f>
        <v>0</v>
      </c>
      <c r="M23" s="350">
        <f t="shared" ref="M23" si="9">H23</f>
        <v>203353.13199328393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3"/>
        <v>IU</v>
      </c>
      <c r="C24" s="50">
        <f>IF(D11="","-",+C23+1)</f>
        <v>2021</v>
      </c>
      <c r="D24" s="405">
        <v>1477062.4309539073</v>
      </c>
      <c r="E24" s="406">
        <v>40131.322093023256</v>
      </c>
      <c r="F24" s="405">
        <v>1436931.1088608841</v>
      </c>
      <c r="G24" s="406">
        <v>195063.32209302325</v>
      </c>
      <c r="H24" s="428">
        <v>195063.32209302325</v>
      </c>
      <c r="I24" s="52">
        <f t="shared" si="4"/>
        <v>0</v>
      </c>
      <c r="J24" s="52"/>
      <c r="K24" s="350">
        <f t="shared" ref="K24" si="10">G24</f>
        <v>195063.32209302325</v>
      </c>
      <c r="L24" s="63">
        <f t="shared" ref="L24" si="11">IF(K24&lt;&gt;0,+G24-K24,0)</f>
        <v>0</v>
      </c>
      <c r="M24" s="350">
        <f t="shared" ref="M24" si="12">H24</f>
        <v>195063.32209302325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3"/>
        <v/>
      </c>
      <c r="C25" s="50">
        <f>IF(D11="","-",+C24+1)</f>
        <v>2022</v>
      </c>
      <c r="D25" s="405">
        <v>1436931.1088608841</v>
      </c>
      <c r="E25" s="406">
        <v>41086.829761904766</v>
      </c>
      <c r="F25" s="405">
        <v>1395844.2790989794</v>
      </c>
      <c r="G25" s="406">
        <v>191574.82976190478</v>
      </c>
      <c r="H25" s="428">
        <v>191574.82976190478</v>
      </c>
      <c r="I25" s="52">
        <f t="shared" si="4"/>
        <v>0</v>
      </c>
      <c r="J25" s="52"/>
      <c r="K25" s="350">
        <f t="shared" ref="K25" si="13">G25</f>
        <v>191574.82976190478</v>
      </c>
      <c r="L25" s="63">
        <f t="shared" ref="L25" si="14">IF(K25&lt;&gt;0,+G25-K25,0)</f>
        <v>0</v>
      </c>
      <c r="M25" s="350">
        <f t="shared" ref="M25" si="15">H25</f>
        <v>191574.82976190478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3"/>
        <v>IU</v>
      </c>
      <c r="C26" s="50">
        <f>IF(D11="","-",+C25+1)</f>
        <v>2023</v>
      </c>
      <c r="D26" s="405">
        <v>1395844.4290989791</v>
      </c>
      <c r="E26" s="406">
        <v>44247.358974358976</v>
      </c>
      <c r="F26" s="405">
        <v>1351597.0701246201</v>
      </c>
      <c r="G26" s="406">
        <v>205572.35897435897</v>
      </c>
      <c r="H26" s="428">
        <v>205572.35897435897</v>
      </c>
      <c r="I26" s="52">
        <f t="shared" si="4"/>
        <v>0</v>
      </c>
      <c r="J26" s="52"/>
      <c r="K26" s="350">
        <f t="shared" ref="K26" si="16">G26</f>
        <v>205572.35897435897</v>
      </c>
      <c r="L26" s="63">
        <f t="shared" ref="L26" si="17">IF(K26&lt;&gt;0,+G26-K26,0)</f>
        <v>0</v>
      </c>
      <c r="M26" s="350">
        <f t="shared" ref="M26" si="18">H26</f>
        <v>205572.35897435897</v>
      </c>
      <c r="N26" s="54">
        <f t="shared" si="5"/>
        <v>0</v>
      </c>
      <c r="O26" s="54">
        <f t="shared" si="6"/>
        <v>0</v>
      </c>
      <c r="P26" s="1"/>
    </row>
    <row r="27" spans="2:16">
      <c r="B27" s="7" t="str">
        <f t="shared" si="3"/>
        <v/>
      </c>
      <c r="C27" s="50">
        <f>IF(D11="","-",+C26+1)</f>
        <v>2024</v>
      </c>
      <c r="D27" s="405">
        <v>1351597.0701246201</v>
      </c>
      <c r="E27" s="406">
        <v>45411.76315789474</v>
      </c>
      <c r="F27" s="405">
        <v>1306185.3069667253</v>
      </c>
      <c r="G27" s="406">
        <v>193977.76315789475</v>
      </c>
      <c r="H27" s="428">
        <v>193977.76315789475</v>
      </c>
      <c r="I27" s="52">
        <f t="shared" si="4"/>
        <v>0</v>
      </c>
      <c r="J27" s="52"/>
      <c r="K27" s="350">
        <f t="shared" ref="K27" si="19">G27</f>
        <v>193977.76315789475</v>
      </c>
      <c r="L27" s="63">
        <f t="shared" ref="L27" si="20">IF(K27&lt;&gt;0,+G27-K27,0)</f>
        <v>0</v>
      </c>
      <c r="M27" s="350">
        <f t="shared" ref="M27" si="21">H27</f>
        <v>193977.76315789475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>
      <c r="B28" s="7" t="str">
        <f t="shared" si="3"/>
        <v/>
      </c>
      <c r="C28" s="50">
        <f>IF(D11="","-",+C27+1)</f>
        <v>2025</v>
      </c>
      <c r="D28" s="405">
        <v>1306185.3069667253</v>
      </c>
      <c r="E28" s="406">
        <v>45411.76315789474</v>
      </c>
      <c r="F28" s="405">
        <v>1260773.5438088304</v>
      </c>
      <c r="G28" s="406">
        <v>188643.76315789475</v>
      </c>
      <c r="H28" s="428">
        <v>188643.76315789475</v>
      </c>
      <c r="I28" s="52">
        <f t="shared" si="4"/>
        <v>0</v>
      </c>
      <c r="J28" s="52"/>
      <c r="K28" s="350">
        <f t="shared" ref="K28" si="24">G28</f>
        <v>188643.76315789475</v>
      </c>
      <c r="L28" s="63">
        <f t="shared" ref="L28" si="25">IF(K28&lt;&gt;0,+G28-K28,0)</f>
        <v>0</v>
      </c>
      <c r="M28" s="350">
        <f t="shared" ref="M28" si="26">H28</f>
        <v>188643.76315789475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1260773.5438088304</v>
      </c>
      <c r="E29" s="354">
        <f t="shared" ref="E29:E72" si="29">IF(+$I$14&lt;F28,$I$14,D29)</f>
        <v>45411.76315789474</v>
      </c>
      <c r="F29" s="55">
        <f t="shared" ref="F29:F72" si="30">+D29-E29</f>
        <v>1215361.7806509356</v>
      </c>
      <c r="G29" s="355">
        <f t="shared" ref="G29:G72" si="31">(D29+F29)/2*I$12+E29</f>
        <v>186064.28983196008</v>
      </c>
      <c r="H29" s="336">
        <f t="shared" ref="H29:H72" si="32">+(D29+F29)/2*I$13+E29</f>
        <v>186064.28983196008</v>
      </c>
      <c r="I29" s="52">
        <f t="shared" si="4"/>
        <v>0</v>
      </c>
      <c r="J29" s="52"/>
      <c r="K29" s="115"/>
      <c r="L29" s="54">
        <f t="shared" ref="L29:L72" si="33">IF(K29&lt;&gt;0,+G29-K29,0)</f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1215361.7806509356</v>
      </c>
      <c r="E30" s="354">
        <f t="shared" si="29"/>
        <v>45411.76315789474</v>
      </c>
      <c r="F30" s="55">
        <f t="shared" si="30"/>
        <v>1169950.0174930408</v>
      </c>
      <c r="G30" s="355">
        <f t="shared" si="31"/>
        <v>180905.21862467402</v>
      </c>
      <c r="H30" s="336">
        <f t="shared" si="32"/>
        <v>180905.21862467402</v>
      </c>
      <c r="I30" s="52">
        <f t="shared" si="4"/>
        <v>0</v>
      </c>
      <c r="J30" s="52"/>
      <c r="K30" s="115"/>
      <c r="L30" s="54">
        <f t="shared" si="33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1169950.0174930408</v>
      </c>
      <c r="E31" s="354">
        <f t="shared" si="29"/>
        <v>45411.76315789474</v>
      </c>
      <c r="F31" s="55">
        <f t="shared" si="30"/>
        <v>1124538.2543351459</v>
      </c>
      <c r="G31" s="355">
        <f t="shared" si="31"/>
        <v>175746.14741738795</v>
      </c>
      <c r="H31" s="336">
        <f t="shared" si="32"/>
        <v>175746.14741738795</v>
      </c>
      <c r="I31" s="52">
        <f t="shared" si="4"/>
        <v>0</v>
      </c>
      <c r="J31" s="52"/>
      <c r="K31" s="115"/>
      <c r="L31" s="54">
        <f t="shared" si="33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1124538.2543351459</v>
      </c>
      <c r="E32" s="354">
        <f t="shared" si="29"/>
        <v>45411.76315789474</v>
      </c>
      <c r="F32" s="55">
        <f t="shared" si="30"/>
        <v>1079126.4911772511</v>
      </c>
      <c r="G32" s="355">
        <f t="shared" si="31"/>
        <v>170587.07621010192</v>
      </c>
      <c r="H32" s="336">
        <f t="shared" si="32"/>
        <v>170587.07621010192</v>
      </c>
      <c r="I32" s="52">
        <f t="shared" si="4"/>
        <v>0</v>
      </c>
      <c r="J32" s="52"/>
      <c r="K32" s="115"/>
      <c r="L32" s="54">
        <f t="shared" si="33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1079126.4911772511</v>
      </c>
      <c r="E33" s="354">
        <f t="shared" si="29"/>
        <v>45411.76315789474</v>
      </c>
      <c r="F33" s="55">
        <f t="shared" si="30"/>
        <v>1033714.7280193564</v>
      </c>
      <c r="G33" s="355">
        <f t="shared" si="31"/>
        <v>165428.00500281586</v>
      </c>
      <c r="H33" s="336">
        <f t="shared" si="32"/>
        <v>165428.00500281586</v>
      </c>
      <c r="I33" s="52">
        <f t="shared" si="4"/>
        <v>0</v>
      </c>
      <c r="J33" s="52"/>
      <c r="K33" s="115"/>
      <c r="L33" s="54">
        <f t="shared" si="33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1033714.7280193564</v>
      </c>
      <c r="E34" s="354">
        <f t="shared" si="29"/>
        <v>45411.76315789474</v>
      </c>
      <c r="F34" s="55">
        <f t="shared" si="30"/>
        <v>988302.96486146166</v>
      </c>
      <c r="G34" s="355">
        <f t="shared" si="31"/>
        <v>160268.93379552983</v>
      </c>
      <c r="H34" s="336">
        <f t="shared" si="32"/>
        <v>160268.93379552983</v>
      </c>
      <c r="I34" s="52">
        <f t="shared" si="4"/>
        <v>0</v>
      </c>
      <c r="J34" s="52"/>
      <c r="K34" s="115"/>
      <c r="L34" s="54">
        <f t="shared" si="33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988302.96486146166</v>
      </c>
      <c r="E35" s="354">
        <f t="shared" si="29"/>
        <v>45411.76315789474</v>
      </c>
      <c r="F35" s="55">
        <f t="shared" si="30"/>
        <v>942891.20170356694</v>
      </c>
      <c r="G35" s="355">
        <f t="shared" si="31"/>
        <v>155109.86258824379</v>
      </c>
      <c r="H35" s="336">
        <f t="shared" si="32"/>
        <v>155109.86258824379</v>
      </c>
      <c r="I35" s="52">
        <f t="shared" si="4"/>
        <v>0</v>
      </c>
      <c r="J35" s="52"/>
      <c r="K35" s="115"/>
      <c r="L35" s="54">
        <f t="shared" si="33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942891.20170356694</v>
      </c>
      <c r="E36" s="354">
        <f t="shared" si="29"/>
        <v>45411.76315789474</v>
      </c>
      <c r="F36" s="55">
        <f t="shared" si="30"/>
        <v>897479.43854567222</v>
      </c>
      <c r="G36" s="355">
        <f t="shared" si="31"/>
        <v>149950.79138095776</v>
      </c>
      <c r="H36" s="336">
        <f t="shared" si="32"/>
        <v>149950.79138095776</v>
      </c>
      <c r="I36" s="52">
        <f t="shared" si="4"/>
        <v>0</v>
      </c>
      <c r="J36" s="52"/>
      <c r="K36" s="115"/>
      <c r="L36" s="54">
        <f t="shared" si="33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897479.43854567222</v>
      </c>
      <c r="E37" s="354">
        <f t="shared" si="29"/>
        <v>45411.76315789474</v>
      </c>
      <c r="F37" s="55">
        <f t="shared" si="30"/>
        <v>852067.6753877775</v>
      </c>
      <c r="G37" s="355">
        <f t="shared" si="31"/>
        <v>144791.72017367173</v>
      </c>
      <c r="H37" s="336">
        <f t="shared" si="32"/>
        <v>144791.72017367173</v>
      </c>
      <c r="I37" s="52">
        <f t="shared" si="4"/>
        <v>0</v>
      </c>
      <c r="J37" s="52"/>
      <c r="K37" s="115"/>
      <c r="L37" s="54">
        <f t="shared" si="33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852067.6753877775</v>
      </c>
      <c r="E38" s="354">
        <f t="shared" si="29"/>
        <v>45411.76315789474</v>
      </c>
      <c r="F38" s="55">
        <f t="shared" si="30"/>
        <v>806655.91222988279</v>
      </c>
      <c r="G38" s="355">
        <f t="shared" si="31"/>
        <v>139632.64896638569</v>
      </c>
      <c r="H38" s="336">
        <f t="shared" si="32"/>
        <v>139632.64896638569</v>
      </c>
      <c r="I38" s="52">
        <f t="shared" si="4"/>
        <v>0</v>
      </c>
      <c r="J38" s="52"/>
      <c r="K38" s="115"/>
      <c r="L38" s="54">
        <f t="shared" si="33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806655.91222988279</v>
      </c>
      <c r="E39" s="354">
        <f t="shared" si="29"/>
        <v>45411.76315789474</v>
      </c>
      <c r="F39" s="55">
        <f t="shared" si="30"/>
        <v>761244.14907198807</v>
      </c>
      <c r="G39" s="355">
        <f t="shared" si="31"/>
        <v>134473.57775909963</v>
      </c>
      <c r="H39" s="336">
        <f t="shared" si="32"/>
        <v>134473.57775909963</v>
      </c>
      <c r="I39" s="52">
        <f t="shared" si="4"/>
        <v>0</v>
      </c>
      <c r="J39" s="52"/>
      <c r="K39" s="115"/>
      <c r="L39" s="54">
        <f t="shared" si="33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761244.14907198807</v>
      </c>
      <c r="E40" s="354">
        <f t="shared" si="29"/>
        <v>45411.76315789474</v>
      </c>
      <c r="F40" s="55">
        <f t="shared" si="30"/>
        <v>715832.38591409335</v>
      </c>
      <c r="G40" s="355">
        <f t="shared" si="31"/>
        <v>129314.50655181363</v>
      </c>
      <c r="H40" s="336">
        <f t="shared" si="32"/>
        <v>129314.50655181363</v>
      </c>
      <c r="I40" s="52">
        <f t="shared" si="4"/>
        <v>0</v>
      </c>
      <c r="J40" s="52"/>
      <c r="K40" s="115"/>
      <c r="L40" s="54">
        <f t="shared" si="33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715832.38591409335</v>
      </c>
      <c r="E41" s="354">
        <f t="shared" si="29"/>
        <v>45411.76315789474</v>
      </c>
      <c r="F41" s="55">
        <f t="shared" si="30"/>
        <v>670420.62275619863</v>
      </c>
      <c r="G41" s="355">
        <f t="shared" si="31"/>
        <v>124155.43534452756</v>
      </c>
      <c r="H41" s="336">
        <f t="shared" si="32"/>
        <v>124155.43534452756</v>
      </c>
      <c r="I41" s="52">
        <f t="shared" si="4"/>
        <v>0</v>
      </c>
      <c r="J41" s="52"/>
      <c r="K41" s="115"/>
      <c r="L41" s="54">
        <f t="shared" si="33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670420.62275619863</v>
      </c>
      <c r="E42" s="354">
        <f t="shared" si="29"/>
        <v>45411.76315789474</v>
      </c>
      <c r="F42" s="55">
        <f t="shared" si="30"/>
        <v>625008.85959830391</v>
      </c>
      <c r="G42" s="355">
        <f t="shared" si="31"/>
        <v>118996.36413724156</v>
      </c>
      <c r="H42" s="336">
        <f t="shared" si="32"/>
        <v>118996.36413724156</v>
      </c>
      <c r="I42" s="52">
        <f t="shared" si="4"/>
        <v>0</v>
      </c>
      <c r="J42" s="52"/>
      <c r="K42" s="115"/>
      <c r="L42" s="54">
        <f t="shared" si="33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625008.85959830391</v>
      </c>
      <c r="E43" s="354">
        <f t="shared" si="29"/>
        <v>45411.76315789474</v>
      </c>
      <c r="F43" s="55">
        <f t="shared" si="30"/>
        <v>579597.09644040919</v>
      </c>
      <c r="G43" s="355">
        <f t="shared" si="31"/>
        <v>113837.2929299555</v>
      </c>
      <c r="H43" s="336">
        <f t="shared" si="32"/>
        <v>113837.2929299555</v>
      </c>
      <c r="I43" s="52">
        <f t="shared" si="4"/>
        <v>0</v>
      </c>
      <c r="J43" s="52"/>
      <c r="K43" s="115"/>
      <c r="L43" s="54">
        <f t="shared" si="33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579597.09644040919</v>
      </c>
      <c r="E44" s="354">
        <f t="shared" si="29"/>
        <v>45411.76315789474</v>
      </c>
      <c r="F44" s="55">
        <f t="shared" si="30"/>
        <v>534185.33328251448</v>
      </c>
      <c r="G44" s="355">
        <f t="shared" si="31"/>
        <v>108678.22172266946</v>
      </c>
      <c r="H44" s="336">
        <f t="shared" si="32"/>
        <v>108678.22172266946</v>
      </c>
      <c r="I44" s="52">
        <f t="shared" si="4"/>
        <v>0</v>
      </c>
      <c r="J44" s="52"/>
      <c r="K44" s="115"/>
      <c r="L44" s="54">
        <f t="shared" si="33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534185.33328251448</v>
      </c>
      <c r="E45" s="354">
        <f t="shared" si="29"/>
        <v>45411.76315789474</v>
      </c>
      <c r="F45" s="55">
        <f t="shared" si="30"/>
        <v>488773.57012461976</v>
      </c>
      <c r="G45" s="355">
        <f t="shared" si="31"/>
        <v>103519.15051538343</v>
      </c>
      <c r="H45" s="336">
        <f t="shared" si="32"/>
        <v>103519.15051538343</v>
      </c>
      <c r="I45" s="52">
        <f t="shared" si="4"/>
        <v>0</v>
      </c>
      <c r="J45" s="52"/>
      <c r="K45" s="115"/>
      <c r="L45" s="54">
        <f t="shared" si="33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488773.57012461976</v>
      </c>
      <c r="E46" s="354">
        <f t="shared" si="29"/>
        <v>45411.76315789474</v>
      </c>
      <c r="F46" s="55">
        <f t="shared" si="30"/>
        <v>443361.80696672504</v>
      </c>
      <c r="G46" s="355">
        <f t="shared" si="31"/>
        <v>98360.079308097396</v>
      </c>
      <c r="H46" s="336">
        <f t="shared" si="32"/>
        <v>98360.079308097396</v>
      </c>
      <c r="I46" s="52">
        <f t="shared" si="4"/>
        <v>0</v>
      </c>
      <c r="J46" s="52"/>
      <c r="K46" s="115"/>
      <c r="L46" s="54">
        <f t="shared" si="33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443361.80696672504</v>
      </c>
      <c r="E47" s="354">
        <f t="shared" si="29"/>
        <v>45411.76315789474</v>
      </c>
      <c r="F47" s="55">
        <f t="shared" si="30"/>
        <v>397950.04380883032</v>
      </c>
      <c r="G47" s="355">
        <f t="shared" si="31"/>
        <v>93201.008100811363</v>
      </c>
      <c r="H47" s="336">
        <f t="shared" si="32"/>
        <v>93201.008100811363</v>
      </c>
      <c r="I47" s="52">
        <f t="shared" si="4"/>
        <v>0</v>
      </c>
      <c r="J47" s="52"/>
      <c r="K47" s="115"/>
      <c r="L47" s="54">
        <f t="shared" si="33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397950.04380883032</v>
      </c>
      <c r="E48" s="354">
        <f t="shared" si="29"/>
        <v>45411.76315789474</v>
      </c>
      <c r="F48" s="55">
        <f t="shared" si="30"/>
        <v>352538.2806509356</v>
      </c>
      <c r="G48" s="355">
        <f t="shared" si="31"/>
        <v>88041.936893525315</v>
      </c>
      <c r="H48" s="336">
        <f t="shared" si="32"/>
        <v>88041.936893525315</v>
      </c>
      <c r="I48" s="52">
        <f t="shared" si="4"/>
        <v>0</v>
      </c>
      <c r="J48" s="52"/>
      <c r="K48" s="115"/>
      <c r="L48" s="54">
        <f t="shared" si="33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352538.2806509356</v>
      </c>
      <c r="E49" s="354">
        <f t="shared" si="29"/>
        <v>45411.76315789474</v>
      </c>
      <c r="F49" s="55">
        <f t="shared" si="30"/>
        <v>307126.51749304088</v>
      </c>
      <c r="G49" s="355">
        <f t="shared" si="31"/>
        <v>82882.865686239282</v>
      </c>
      <c r="H49" s="336">
        <f t="shared" si="32"/>
        <v>82882.865686239282</v>
      </c>
      <c r="I49" s="52">
        <f t="shared" si="4"/>
        <v>0</v>
      </c>
      <c r="J49" s="52"/>
      <c r="K49" s="115"/>
      <c r="L49" s="54">
        <f t="shared" si="33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307126.51749304088</v>
      </c>
      <c r="E50" s="354">
        <f t="shared" si="29"/>
        <v>45411.76315789474</v>
      </c>
      <c r="F50" s="55">
        <f t="shared" si="30"/>
        <v>261714.75433514614</v>
      </c>
      <c r="G50" s="355">
        <f t="shared" si="31"/>
        <v>77723.794478953248</v>
      </c>
      <c r="H50" s="336">
        <f t="shared" si="32"/>
        <v>77723.794478953248</v>
      </c>
      <c r="I50" s="52">
        <f t="shared" si="4"/>
        <v>0</v>
      </c>
      <c r="J50" s="52"/>
      <c r="K50" s="115"/>
      <c r="L50" s="54">
        <f t="shared" si="33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261714.75433514614</v>
      </c>
      <c r="E51" s="354">
        <f t="shared" si="29"/>
        <v>45411.76315789474</v>
      </c>
      <c r="F51" s="55">
        <f t="shared" si="30"/>
        <v>216302.99117725139</v>
      </c>
      <c r="G51" s="355">
        <f t="shared" si="31"/>
        <v>72564.723271667201</v>
      </c>
      <c r="H51" s="336">
        <f t="shared" si="32"/>
        <v>72564.723271667201</v>
      </c>
      <c r="I51" s="52">
        <f t="shared" si="4"/>
        <v>0</v>
      </c>
      <c r="J51" s="52"/>
      <c r="K51" s="115"/>
      <c r="L51" s="54">
        <f t="shared" si="33"/>
        <v>0</v>
      </c>
      <c r="M51" s="115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216302.99117725139</v>
      </c>
      <c r="E52" s="354">
        <f t="shared" si="29"/>
        <v>45411.76315789474</v>
      </c>
      <c r="F52" s="55">
        <f t="shared" si="30"/>
        <v>170891.22801935664</v>
      </c>
      <c r="G52" s="355">
        <f t="shared" si="31"/>
        <v>67405.652064381167</v>
      </c>
      <c r="H52" s="336">
        <f t="shared" si="32"/>
        <v>67405.652064381167</v>
      </c>
      <c r="I52" s="52">
        <f t="shared" si="4"/>
        <v>0</v>
      </c>
      <c r="J52" s="52"/>
      <c r="K52" s="115"/>
      <c r="L52" s="54">
        <f t="shared" si="33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170891.22801935664</v>
      </c>
      <c r="E53" s="354">
        <f t="shared" si="29"/>
        <v>45411.76315789474</v>
      </c>
      <c r="F53" s="55">
        <f t="shared" si="30"/>
        <v>125479.46486146189</v>
      </c>
      <c r="G53" s="355">
        <f t="shared" si="31"/>
        <v>62246.580857095119</v>
      </c>
      <c r="H53" s="336">
        <f t="shared" si="32"/>
        <v>62246.580857095119</v>
      </c>
      <c r="I53" s="52">
        <f t="shared" si="4"/>
        <v>0</v>
      </c>
      <c r="J53" s="52"/>
      <c r="K53" s="115"/>
      <c r="L53" s="54">
        <f t="shared" si="33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125479.46486146189</v>
      </c>
      <c r="E54" s="354">
        <f t="shared" si="29"/>
        <v>45411.76315789474</v>
      </c>
      <c r="F54" s="55">
        <f t="shared" si="30"/>
        <v>80067.701703567145</v>
      </c>
      <c r="G54" s="355">
        <f t="shared" si="31"/>
        <v>57087.509649809086</v>
      </c>
      <c r="H54" s="336">
        <f t="shared" si="32"/>
        <v>57087.509649809086</v>
      </c>
      <c r="I54" s="52">
        <f t="shared" si="4"/>
        <v>0</v>
      </c>
      <c r="J54" s="52"/>
      <c r="K54" s="115"/>
      <c r="L54" s="54">
        <f t="shared" si="33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80067.701703567145</v>
      </c>
      <c r="E55" s="354">
        <f t="shared" si="29"/>
        <v>45411.76315789474</v>
      </c>
      <c r="F55" s="55">
        <f t="shared" si="30"/>
        <v>34655.938545672405</v>
      </c>
      <c r="G55" s="355">
        <f t="shared" si="31"/>
        <v>51928.438442523038</v>
      </c>
      <c r="H55" s="336">
        <f t="shared" si="32"/>
        <v>51928.438442523038</v>
      </c>
      <c r="I55" s="52">
        <f t="shared" si="4"/>
        <v>0</v>
      </c>
      <c r="J55" s="52"/>
      <c r="K55" s="115"/>
      <c r="L55" s="54">
        <f t="shared" si="33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34655.938545672405</v>
      </c>
      <c r="E56" s="354">
        <f t="shared" si="29"/>
        <v>34655.938545672405</v>
      </c>
      <c r="F56" s="55">
        <f t="shared" si="30"/>
        <v>0</v>
      </c>
      <c r="G56" s="355">
        <f t="shared" si="31"/>
        <v>36624.508386165049</v>
      </c>
      <c r="H56" s="336">
        <f t="shared" si="32"/>
        <v>36624.508386165049</v>
      </c>
      <c r="I56" s="52">
        <f t="shared" si="4"/>
        <v>0</v>
      </c>
      <c r="J56" s="52"/>
      <c r="K56" s="115"/>
      <c r="L56" s="54">
        <f t="shared" si="33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0</v>
      </c>
      <c r="E57" s="354">
        <f t="shared" si="29"/>
        <v>0</v>
      </c>
      <c r="F57" s="55">
        <f t="shared" si="30"/>
        <v>0</v>
      </c>
      <c r="G57" s="355">
        <f t="shared" si="31"/>
        <v>0</v>
      </c>
      <c r="H57" s="336">
        <f t="shared" si="32"/>
        <v>0</v>
      </c>
      <c r="I57" s="52">
        <f t="shared" si="4"/>
        <v>0</v>
      </c>
      <c r="J57" s="52"/>
      <c r="K57" s="115"/>
      <c r="L57" s="54">
        <f t="shared" si="33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0</v>
      </c>
      <c r="E58" s="354">
        <f t="shared" si="29"/>
        <v>0</v>
      </c>
      <c r="F58" s="55">
        <f t="shared" si="30"/>
        <v>0</v>
      </c>
      <c r="G58" s="355">
        <f t="shared" si="31"/>
        <v>0</v>
      </c>
      <c r="H58" s="336">
        <f t="shared" si="32"/>
        <v>0</v>
      </c>
      <c r="I58" s="52">
        <f t="shared" si="4"/>
        <v>0</v>
      </c>
      <c r="J58" s="52"/>
      <c r="K58" s="115"/>
      <c r="L58" s="54">
        <f t="shared" si="33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0</v>
      </c>
      <c r="E59" s="354">
        <f t="shared" si="29"/>
        <v>0</v>
      </c>
      <c r="F59" s="55">
        <f t="shared" si="30"/>
        <v>0</v>
      </c>
      <c r="G59" s="355">
        <f t="shared" si="31"/>
        <v>0</v>
      </c>
      <c r="H59" s="336">
        <f t="shared" si="32"/>
        <v>0</v>
      </c>
      <c r="I59" s="52">
        <f t="shared" si="4"/>
        <v>0</v>
      </c>
      <c r="J59" s="52"/>
      <c r="K59" s="115"/>
      <c r="L59" s="54">
        <f t="shared" si="33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54">
        <f t="shared" si="29"/>
        <v>0</v>
      </c>
      <c r="F60" s="55">
        <f t="shared" si="30"/>
        <v>0</v>
      </c>
      <c r="G60" s="355">
        <f t="shared" si="31"/>
        <v>0</v>
      </c>
      <c r="H60" s="336">
        <f t="shared" si="32"/>
        <v>0</v>
      </c>
      <c r="I60" s="52">
        <f t="shared" si="4"/>
        <v>0</v>
      </c>
      <c r="J60" s="52"/>
      <c r="K60" s="115"/>
      <c r="L60" s="54">
        <f t="shared" si="33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54">
        <f t="shared" si="29"/>
        <v>0</v>
      </c>
      <c r="F61" s="55">
        <f t="shared" si="30"/>
        <v>0</v>
      </c>
      <c r="G61" s="355">
        <f t="shared" si="31"/>
        <v>0</v>
      </c>
      <c r="H61" s="336">
        <f t="shared" si="32"/>
        <v>0</v>
      </c>
      <c r="I61" s="52">
        <f t="shared" si="4"/>
        <v>0</v>
      </c>
      <c r="J61" s="52"/>
      <c r="K61" s="115"/>
      <c r="L61" s="54">
        <f t="shared" si="33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54">
        <f t="shared" si="29"/>
        <v>0</v>
      </c>
      <c r="F62" s="55">
        <f t="shared" si="30"/>
        <v>0</v>
      </c>
      <c r="G62" s="355">
        <f t="shared" si="31"/>
        <v>0</v>
      </c>
      <c r="H62" s="336">
        <f t="shared" si="32"/>
        <v>0</v>
      </c>
      <c r="I62" s="52">
        <f t="shared" si="4"/>
        <v>0</v>
      </c>
      <c r="J62" s="52"/>
      <c r="K62" s="115"/>
      <c r="L62" s="54">
        <f t="shared" si="33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54">
        <f t="shared" si="29"/>
        <v>0</v>
      </c>
      <c r="F63" s="55">
        <f t="shared" si="30"/>
        <v>0</v>
      </c>
      <c r="G63" s="355">
        <f t="shared" si="31"/>
        <v>0</v>
      </c>
      <c r="H63" s="336">
        <f t="shared" si="32"/>
        <v>0</v>
      </c>
      <c r="I63" s="52">
        <f t="shared" si="4"/>
        <v>0</v>
      </c>
      <c r="J63" s="52"/>
      <c r="K63" s="115"/>
      <c r="L63" s="54">
        <f t="shared" si="33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54">
        <f t="shared" si="29"/>
        <v>0</v>
      </c>
      <c r="F64" s="55">
        <f t="shared" si="30"/>
        <v>0</v>
      </c>
      <c r="G64" s="355">
        <f t="shared" si="31"/>
        <v>0</v>
      </c>
      <c r="H64" s="336">
        <f t="shared" si="32"/>
        <v>0</v>
      </c>
      <c r="I64" s="52">
        <f t="shared" si="4"/>
        <v>0</v>
      </c>
      <c r="J64" s="52"/>
      <c r="K64" s="115"/>
      <c r="L64" s="54">
        <f t="shared" si="33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54">
        <f t="shared" si="29"/>
        <v>0</v>
      </c>
      <c r="F65" s="55">
        <f t="shared" si="30"/>
        <v>0</v>
      </c>
      <c r="G65" s="355">
        <f t="shared" si="31"/>
        <v>0</v>
      </c>
      <c r="H65" s="336">
        <f t="shared" si="32"/>
        <v>0</v>
      </c>
      <c r="I65" s="52">
        <f t="shared" si="4"/>
        <v>0</v>
      </c>
      <c r="J65" s="52"/>
      <c r="K65" s="115"/>
      <c r="L65" s="54">
        <f t="shared" si="33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54">
        <f t="shared" si="29"/>
        <v>0</v>
      </c>
      <c r="F66" s="55">
        <f t="shared" si="30"/>
        <v>0</v>
      </c>
      <c r="G66" s="355">
        <f t="shared" si="31"/>
        <v>0</v>
      </c>
      <c r="H66" s="336">
        <f t="shared" si="32"/>
        <v>0</v>
      </c>
      <c r="I66" s="52">
        <f t="shared" si="4"/>
        <v>0</v>
      </c>
      <c r="J66" s="52"/>
      <c r="K66" s="115"/>
      <c r="L66" s="54">
        <f t="shared" si="33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54">
        <f t="shared" si="29"/>
        <v>0</v>
      </c>
      <c r="F67" s="55">
        <f t="shared" si="30"/>
        <v>0</v>
      </c>
      <c r="G67" s="355">
        <f t="shared" si="31"/>
        <v>0</v>
      </c>
      <c r="H67" s="336">
        <f t="shared" si="32"/>
        <v>0</v>
      </c>
      <c r="I67" s="52">
        <f t="shared" si="4"/>
        <v>0</v>
      </c>
      <c r="J67" s="52"/>
      <c r="K67" s="115"/>
      <c r="L67" s="54">
        <f t="shared" si="33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54">
        <f t="shared" si="29"/>
        <v>0</v>
      </c>
      <c r="F68" s="55">
        <f t="shared" si="30"/>
        <v>0</v>
      </c>
      <c r="G68" s="355">
        <f t="shared" si="31"/>
        <v>0</v>
      </c>
      <c r="H68" s="336">
        <f t="shared" si="32"/>
        <v>0</v>
      </c>
      <c r="I68" s="52">
        <f t="shared" si="4"/>
        <v>0</v>
      </c>
      <c r="J68" s="52"/>
      <c r="K68" s="115"/>
      <c r="L68" s="54">
        <f t="shared" si="33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54">
        <f t="shared" si="29"/>
        <v>0</v>
      </c>
      <c r="F69" s="55">
        <f t="shared" si="30"/>
        <v>0</v>
      </c>
      <c r="G69" s="355">
        <f t="shared" si="31"/>
        <v>0</v>
      </c>
      <c r="H69" s="336">
        <f t="shared" si="32"/>
        <v>0</v>
      </c>
      <c r="I69" s="52">
        <f t="shared" si="4"/>
        <v>0</v>
      </c>
      <c r="J69" s="52"/>
      <c r="K69" s="115"/>
      <c r="L69" s="54">
        <f t="shared" si="33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54">
        <f t="shared" si="29"/>
        <v>0</v>
      </c>
      <c r="F70" s="55">
        <f t="shared" si="30"/>
        <v>0</v>
      </c>
      <c r="G70" s="355">
        <f t="shared" si="31"/>
        <v>0</v>
      </c>
      <c r="H70" s="336">
        <f t="shared" si="32"/>
        <v>0</v>
      </c>
      <c r="I70" s="52">
        <f t="shared" si="4"/>
        <v>0</v>
      </c>
      <c r="J70" s="52"/>
      <c r="K70" s="115"/>
      <c r="L70" s="54">
        <f t="shared" si="33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54">
        <f t="shared" si="29"/>
        <v>0</v>
      </c>
      <c r="F71" s="55">
        <f t="shared" si="30"/>
        <v>0</v>
      </c>
      <c r="G71" s="355">
        <f t="shared" si="31"/>
        <v>0</v>
      </c>
      <c r="H71" s="336">
        <f t="shared" si="32"/>
        <v>0</v>
      </c>
      <c r="I71" s="52">
        <f t="shared" si="4"/>
        <v>0</v>
      </c>
      <c r="J71" s="52"/>
      <c r="K71" s="115"/>
      <c r="L71" s="54">
        <f t="shared" si="33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3"/>
        <v/>
      </c>
      <c r="C72" s="58">
        <f>IF(D11="","-",+C71+1)</f>
        <v>2069</v>
      </c>
      <c r="D72" s="59">
        <f>IF(F71+SUM(E$17:E71)=D$10,F71,D$10-SUM(E$17:E71))</f>
        <v>0</v>
      </c>
      <c r="E72" s="357">
        <f t="shared" si="29"/>
        <v>0</v>
      </c>
      <c r="F72" s="59">
        <f t="shared" si="30"/>
        <v>0</v>
      </c>
      <c r="G72" s="59">
        <f t="shared" si="31"/>
        <v>0</v>
      </c>
      <c r="H72" s="59">
        <f t="shared" si="32"/>
        <v>0</v>
      </c>
      <c r="I72" s="61">
        <f t="shared" si="4"/>
        <v>0</v>
      </c>
      <c r="J72" s="52"/>
      <c r="K72" s="116"/>
      <c r="L72" s="62">
        <f t="shared" si="33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>
      <c r="C73" s="12" t="s">
        <v>77</v>
      </c>
      <c r="D73" s="266"/>
      <c r="E73" s="266">
        <f>SUM(E17:E72)</f>
        <v>1725647.0000000009</v>
      </c>
      <c r="F73" s="266"/>
      <c r="G73" s="266">
        <f>SUM(G17:G72)</f>
        <v>5879499.8647160046</v>
      </c>
      <c r="H73" s="266">
        <f>SUM(H17:H72)</f>
        <v>5879499.8647160046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18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188643.76315789475</v>
      </c>
      <c r="N87" s="364">
        <f>IF(J92&lt;D11,0,VLOOKUP(J92,C17:O72,11))</f>
        <v>188643.76315789475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201404.94136412509</v>
      </c>
      <c r="N88" s="367">
        <f>IF(J92&lt;D11,0,VLOOKUP(J92,C99:P154,7))</f>
        <v>201404.94136412509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Darlington-Red Rock 138 kV line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12761.178206230339</v>
      </c>
      <c r="N89" s="369">
        <f>+N88-N87</f>
        <v>12761.178206230339</v>
      </c>
      <c r="O89" s="370">
        <f>+O88-O87</f>
        <v>0</v>
      </c>
      <c r="P89" s="1"/>
    </row>
    <row r="90" spans="1:16" ht="13.5" thickBot="1">
      <c r="C90" s="30"/>
      <c r="D90" s="434" t="s">
        <v>269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TP2012112</v>
      </c>
      <c r="E91" s="74" t="str">
        <f>E9</f>
        <v xml:space="preserve">  SPP Project ID = 30746</v>
      </c>
      <c r="F91" s="74"/>
      <c r="G91" s="74"/>
      <c r="H91" s="74"/>
      <c r="I91" s="74"/>
      <c r="J91" s="74"/>
    </row>
    <row r="92" spans="1:16">
      <c r="C92" s="128" t="s">
        <v>226</v>
      </c>
      <c r="D92" s="433">
        <v>1725647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2014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4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46639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2014</v>
      </c>
      <c r="D99" s="411"/>
      <c r="E99" s="412"/>
      <c r="F99" s="413"/>
      <c r="G99" s="429"/>
      <c r="H99" s="430"/>
      <c r="I99" s="431"/>
      <c r="J99" s="54">
        <v>0</v>
      </c>
      <c r="K99" s="54"/>
      <c r="L99" s="350">
        <f t="shared" ref="L99:L104" si="34">H99</f>
        <v>0</v>
      </c>
      <c r="M99" s="63">
        <f t="shared" ref="M99:M104" si="35">IF(L99&lt;&gt;0,+H99-L99,0)</f>
        <v>0</v>
      </c>
      <c r="N99" s="350">
        <f t="shared" ref="N99:N104" si="36">I99</f>
        <v>0</v>
      </c>
      <c r="O99" s="52">
        <f>IF(N99&lt;&gt;0,+I99-N99,0)</f>
        <v>0</v>
      </c>
      <c r="P99" s="54">
        <f>+O99-M99</f>
        <v>0</v>
      </c>
    </row>
    <row r="100" spans="1:16">
      <c r="B100" s="7" t="str">
        <f>IF(D100=F99,"","IU")</f>
        <v>IU</v>
      </c>
      <c r="C100" s="50">
        <f>IF(D93="","-",+C99+1)</f>
        <v>2015</v>
      </c>
      <c r="D100" s="411">
        <v>1703523.1724358976</v>
      </c>
      <c r="E100" s="412">
        <v>32760</v>
      </c>
      <c r="F100" s="413">
        <v>1670763.1724358976</v>
      </c>
      <c r="G100" s="413">
        <v>1687143.1724358976</v>
      </c>
      <c r="H100" s="430">
        <v>262957.1205792831</v>
      </c>
      <c r="I100" s="431">
        <v>262957.1205792831</v>
      </c>
      <c r="J100" s="54">
        <f>+I100-H100</f>
        <v>0</v>
      </c>
      <c r="K100" s="54"/>
      <c r="L100" s="350">
        <f t="shared" si="34"/>
        <v>262957.1205792831</v>
      </c>
      <c r="M100" s="63">
        <f t="shared" si="35"/>
        <v>0</v>
      </c>
      <c r="N100" s="350">
        <f t="shared" si="36"/>
        <v>262957.1205792831</v>
      </c>
      <c r="O100" s="52">
        <f>IF(N100&lt;&gt;0,+I100-N100,0)</f>
        <v>0</v>
      </c>
      <c r="P100" s="54">
        <f>+O100-M100</f>
        <v>0</v>
      </c>
    </row>
    <row r="101" spans="1:16">
      <c r="B101" s="7" t="str">
        <f t="shared" ref="B101:B154" si="37">IF(D101=F100,"","IU")</f>
        <v>IU</v>
      </c>
      <c r="C101" s="50">
        <f>IF(D93="","-",+C100+1)</f>
        <v>2016</v>
      </c>
      <c r="D101" s="411">
        <v>1692887</v>
      </c>
      <c r="E101" s="412">
        <v>37514</v>
      </c>
      <c r="F101" s="413">
        <v>1655373</v>
      </c>
      <c r="G101" s="413">
        <v>1674130</v>
      </c>
      <c r="H101" s="430">
        <v>250555.65084872485</v>
      </c>
      <c r="I101" s="431">
        <v>250555.65084872485</v>
      </c>
      <c r="J101" s="54">
        <f t="shared" ref="J101:J154" si="38">+I101-H101</f>
        <v>0</v>
      </c>
      <c r="K101" s="54"/>
      <c r="L101" s="350">
        <f t="shared" si="34"/>
        <v>250555.65084872485</v>
      </c>
      <c r="M101" s="63">
        <f t="shared" si="35"/>
        <v>0</v>
      </c>
      <c r="N101" s="350">
        <f t="shared" si="36"/>
        <v>250555.65084872485</v>
      </c>
      <c r="O101" s="52">
        <f>IF(N101&lt;&gt;0,+I101-N101,0)</f>
        <v>0</v>
      </c>
      <c r="P101" s="54">
        <f>+O101-M101</f>
        <v>0</v>
      </c>
    </row>
    <row r="102" spans="1:16">
      <c r="B102" s="7" t="str">
        <f t="shared" si="37"/>
        <v/>
      </c>
      <c r="C102" s="50">
        <f>IF(D93="","-",+C101+1)</f>
        <v>2017</v>
      </c>
      <c r="D102" s="411">
        <v>1655373</v>
      </c>
      <c r="E102" s="412">
        <v>37514</v>
      </c>
      <c r="F102" s="413">
        <v>1617859</v>
      </c>
      <c r="G102" s="413">
        <v>1636616</v>
      </c>
      <c r="H102" s="430">
        <v>245122.86632871011</v>
      </c>
      <c r="I102" s="431">
        <v>245122.86632871011</v>
      </c>
      <c r="J102" s="54">
        <f t="shared" si="38"/>
        <v>0</v>
      </c>
      <c r="K102" s="54"/>
      <c r="L102" s="350">
        <f t="shared" si="34"/>
        <v>245122.86632871011</v>
      </c>
      <c r="M102" s="63">
        <f t="shared" si="35"/>
        <v>0</v>
      </c>
      <c r="N102" s="350">
        <f t="shared" si="36"/>
        <v>245122.86632871011</v>
      </c>
      <c r="O102" s="52">
        <f>IF(N102&lt;&gt;0,+I102-N102,0)</f>
        <v>0</v>
      </c>
      <c r="P102" s="54">
        <f>+O102-M102</f>
        <v>0</v>
      </c>
    </row>
    <row r="103" spans="1:16">
      <c r="B103" s="7" t="str">
        <f t="shared" si="37"/>
        <v/>
      </c>
      <c r="C103" s="50">
        <f>IF(D93="","-",+C102+1)</f>
        <v>2018</v>
      </c>
      <c r="D103" s="411">
        <v>1617859</v>
      </c>
      <c r="E103" s="412">
        <v>40131</v>
      </c>
      <c r="F103" s="413">
        <v>1577728</v>
      </c>
      <c r="G103" s="413">
        <v>1597793.5</v>
      </c>
      <c r="H103" s="430">
        <v>204281.22089486517</v>
      </c>
      <c r="I103" s="431">
        <v>204281.22089486517</v>
      </c>
      <c r="J103" s="54">
        <f t="shared" si="38"/>
        <v>0</v>
      </c>
      <c r="K103" s="54"/>
      <c r="L103" s="350">
        <f t="shared" si="34"/>
        <v>204281.22089486517</v>
      </c>
      <c r="M103" s="63">
        <f t="shared" si="35"/>
        <v>0</v>
      </c>
      <c r="N103" s="350">
        <f t="shared" si="36"/>
        <v>204281.22089486517</v>
      </c>
      <c r="O103" s="52">
        <f>IF(N103&lt;&gt;0,+I103-N103,0)</f>
        <v>0</v>
      </c>
      <c r="P103" s="54">
        <f>+O103-M103</f>
        <v>0</v>
      </c>
    </row>
    <row r="104" spans="1:16">
      <c r="B104" s="7" t="str">
        <f t="shared" si="37"/>
        <v/>
      </c>
      <c r="C104" s="50">
        <f>IF(D93="","-",+C103+1)</f>
        <v>2019</v>
      </c>
      <c r="D104" s="411">
        <v>1577728</v>
      </c>
      <c r="E104" s="412">
        <v>42089</v>
      </c>
      <c r="F104" s="413">
        <v>1535639</v>
      </c>
      <c r="G104" s="413">
        <v>1556683.5</v>
      </c>
      <c r="H104" s="430">
        <v>202604.90301828689</v>
      </c>
      <c r="I104" s="431">
        <v>202604.90301828689</v>
      </c>
      <c r="J104" s="54">
        <f t="shared" si="38"/>
        <v>0</v>
      </c>
      <c r="K104" s="54"/>
      <c r="L104" s="350">
        <f t="shared" si="34"/>
        <v>202604.90301828689</v>
      </c>
      <c r="M104" s="63">
        <f t="shared" si="35"/>
        <v>0</v>
      </c>
      <c r="N104" s="350">
        <f t="shared" si="36"/>
        <v>202604.90301828689</v>
      </c>
      <c r="O104" s="54">
        <f t="shared" ref="O104:O130" si="39">IF(N104&lt;&gt;0,+I104-N104,0)</f>
        <v>0</v>
      </c>
      <c r="P104" s="54">
        <f t="shared" ref="P104:P130" si="40">+O104-M104</f>
        <v>0</v>
      </c>
    </row>
    <row r="105" spans="1:16">
      <c r="B105" s="7" t="str">
        <f t="shared" si="37"/>
        <v/>
      </c>
      <c r="C105" s="50">
        <f>IF(D93="","-",+C104+1)</f>
        <v>2020</v>
      </c>
      <c r="D105" s="411">
        <v>1535639</v>
      </c>
      <c r="E105" s="412">
        <v>40131</v>
      </c>
      <c r="F105" s="413">
        <v>1495508</v>
      </c>
      <c r="G105" s="413">
        <v>1515573.5</v>
      </c>
      <c r="H105" s="430">
        <v>214872.45782422918</v>
      </c>
      <c r="I105" s="431">
        <v>214872.45782422918</v>
      </c>
      <c r="J105" s="54">
        <f t="shared" si="38"/>
        <v>0</v>
      </c>
      <c r="K105" s="54"/>
      <c r="L105" s="350">
        <f t="shared" ref="L105" si="41">H105</f>
        <v>214872.45782422918</v>
      </c>
      <c r="M105" s="63">
        <f t="shared" ref="M105" si="42">IF(L105&lt;&gt;0,+H105-L105,0)</f>
        <v>0</v>
      </c>
      <c r="N105" s="350">
        <f t="shared" ref="N105" si="43">I105</f>
        <v>214872.45782422918</v>
      </c>
      <c r="O105" s="54">
        <f t="shared" si="39"/>
        <v>0</v>
      </c>
      <c r="P105" s="54">
        <f t="shared" si="40"/>
        <v>0</v>
      </c>
    </row>
    <row r="106" spans="1:16">
      <c r="B106" s="7" t="str">
        <f t="shared" si="37"/>
        <v/>
      </c>
      <c r="C106" s="50">
        <f>IF(D93="","-",+C105+1)</f>
        <v>2021</v>
      </c>
      <c r="D106" s="411">
        <v>1495508</v>
      </c>
      <c r="E106" s="412">
        <v>42089</v>
      </c>
      <c r="F106" s="413">
        <v>1453419</v>
      </c>
      <c r="G106" s="413">
        <v>1474463.5</v>
      </c>
      <c r="H106" s="430">
        <v>209872.31988794773</v>
      </c>
      <c r="I106" s="431">
        <v>209872.31988794773</v>
      </c>
      <c r="J106" s="54">
        <f t="shared" si="38"/>
        <v>0</v>
      </c>
      <c r="K106" s="54"/>
      <c r="L106" s="350">
        <f t="shared" ref="L106" si="44">H106</f>
        <v>209872.31988794773</v>
      </c>
      <c r="M106" s="63">
        <f t="shared" ref="M106" si="45">IF(L106&lt;&gt;0,+H106-L106,0)</f>
        <v>0</v>
      </c>
      <c r="N106" s="350">
        <f t="shared" ref="N106" si="46">I106</f>
        <v>209872.31988794773</v>
      </c>
      <c r="O106" s="54">
        <f t="shared" si="39"/>
        <v>0</v>
      </c>
      <c r="P106" s="54">
        <f t="shared" si="40"/>
        <v>0</v>
      </c>
    </row>
    <row r="107" spans="1:16">
      <c r="B107" s="7" t="str">
        <f t="shared" si="37"/>
        <v/>
      </c>
      <c r="C107" s="50">
        <f>IF(D93="","-",+C106+1)</f>
        <v>2022</v>
      </c>
      <c r="D107" s="411">
        <v>1453419</v>
      </c>
      <c r="E107" s="412">
        <v>44247</v>
      </c>
      <c r="F107" s="413">
        <v>1409172</v>
      </c>
      <c r="G107" s="413">
        <v>1431295.5</v>
      </c>
      <c r="H107" s="430">
        <v>201950.93523897958</v>
      </c>
      <c r="I107" s="431">
        <v>201950.93523897958</v>
      </c>
      <c r="J107" s="54">
        <f t="shared" si="38"/>
        <v>0</v>
      </c>
      <c r="K107" s="54"/>
      <c r="L107" s="350">
        <f t="shared" ref="L107" si="47">H107</f>
        <v>201950.93523897958</v>
      </c>
      <c r="M107" s="63">
        <f t="shared" ref="M107" si="48">IF(L107&lt;&gt;0,+H107-L107,0)</f>
        <v>0</v>
      </c>
      <c r="N107" s="350">
        <f t="shared" ref="N107" si="49">I107</f>
        <v>201950.93523897958</v>
      </c>
      <c r="O107" s="54">
        <f t="shared" ref="O107" si="50">IF(N107&lt;&gt;0,+I107-N107,0)</f>
        <v>0</v>
      </c>
      <c r="P107" s="54">
        <f t="shared" ref="P107" si="51">+O107-M107</f>
        <v>0</v>
      </c>
    </row>
    <row r="108" spans="1:16">
      <c r="B108" s="7" t="str">
        <f t="shared" si="37"/>
        <v/>
      </c>
      <c r="C108" s="50">
        <f>IF(D93="","-",+C107+1)</f>
        <v>2023</v>
      </c>
      <c r="D108" s="411">
        <v>1409172</v>
      </c>
      <c r="E108" s="412">
        <v>45412</v>
      </c>
      <c r="F108" s="413">
        <v>1363760</v>
      </c>
      <c r="G108" s="413">
        <v>1386466</v>
      </c>
      <c r="H108" s="430">
        <v>203783.92534158818</v>
      </c>
      <c r="I108" s="431">
        <v>203783.92534158818</v>
      </c>
      <c r="J108" s="54">
        <f t="shared" si="38"/>
        <v>0</v>
      </c>
      <c r="K108" s="54"/>
      <c r="L108" s="350">
        <f t="shared" ref="L108" si="52">H108</f>
        <v>203783.92534158818</v>
      </c>
      <c r="M108" s="63">
        <f t="shared" ref="M108" si="53">IF(L108&lt;&gt;0,+H108-L108,0)</f>
        <v>0</v>
      </c>
      <c r="N108" s="350">
        <f t="shared" ref="N108" si="54">I108</f>
        <v>203783.92534158818</v>
      </c>
      <c r="O108" s="54">
        <f t="shared" ref="O108" si="55">IF(N108&lt;&gt;0,+I108-N108,0)</f>
        <v>0</v>
      </c>
      <c r="P108" s="54">
        <f t="shared" ref="P108" si="56">+O108-M108</f>
        <v>0</v>
      </c>
    </row>
    <row r="109" spans="1:16">
      <c r="B109" s="7" t="str">
        <f t="shared" si="37"/>
        <v/>
      </c>
      <c r="C109" s="50">
        <f>IF(D93="","-",+C108+1)</f>
        <v>2024</v>
      </c>
      <c r="D109" s="411">
        <v>1363760</v>
      </c>
      <c r="E109" s="412">
        <v>46639</v>
      </c>
      <c r="F109" s="413">
        <v>1317121</v>
      </c>
      <c r="G109" s="413">
        <v>1340440.5</v>
      </c>
      <c r="H109" s="430">
        <v>226685.23846652237</v>
      </c>
      <c r="I109" s="431">
        <v>226685.23846652237</v>
      </c>
      <c r="J109" s="54">
        <f t="shared" si="38"/>
        <v>0</v>
      </c>
      <c r="K109" s="54"/>
      <c r="L109" s="350">
        <f t="shared" ref="L109" si="57">H109</f>
        <v>226685.23846652237</v>
      </c>
      <c r="M109" s="63">
        <f t="shared" ref="M109" si="58">IF(L109&lt;&gt;0,+H109-L109,0)</f>
        <v>0</v>
      </c>
      <c r="N109" s="350">
        <f t="shared" ref="N109" si="59">I109</f>
        <v>226685.23846652237</v>
      </c>
      <c r="O109" s="54">
        <f t="shared" ref="O109" si="60">IF(N109&lt;&gt;0,+I109-N109,0)</f>
        <v>0</v>
      </c>
      <c r="P109" s="54">
        <f t="shared" ref="P109" si="61">+O109-M109</f>
        <v>0</v>
      </c>
    </row>
    <row r="110" spans="1:16">
      <c r="B110" s="7" t="str">
        <f t="shared" si="37"/>
        <v/>
      </c>
      <c r="C110" s="50">
        <f>IF(D93="","-",+C109+1)</f>
        <v>2025</v>
      </c>
      <c r="D110" s="12">
        <f>IF(F109+SUM(E$99:E109)=D$92,F109,D$92-SUM(E$99:E109))</f>
        <v>1317121</v>
      </c>
      <c r="E110" s="354">
        <f t="shared" ref="E110:E154" si="62">IF(+J$96&lt;F109,J$96,D110)</f>
        <v>46639</v>
      </c>
      <c r="F110" s="55">
        <f t="shared" ref="F110:F154" si="63">+D110-E110</f>
        <v>1270482</v>
      </c>
      <c r="G110" s="55">
        <f t="shared" ref="G110:G154" si="64">+(F110+D110)/2</f>
        <v>1293801.5</v>
      </c>
      <c r="H110" s="355">
        <f t="shared" ref="H110:H153" si="65">(D110+F110)/2*J$94+E110</f>
        <v>201404.94136412509</v>
      </c>
      <c r="I110" s="381">
        <f t="shared" ref="I110:I153" si="66">+J$95*G110+E110</f>
        <v>201404.94136412509</v>
      </c>
      <c r="J110" s="54">
        <f t="shared" si="38"/>
        <v>0</v>
      </c>
      <c r="K110" s="54"/>
      <c r="L110" s="115"/>
      <c r="M110" s="54">
        <f t="shared" ref="M110:M130" si="67">IF(L110&lt;&gt;0,+H110-L110,0)</f>
        <v>0</v>
      </c>
      <c r="N110" s="115"/>
      <c r="O110" s="54">
        <f t="shared" si="39"/>
        <v>0</v>
      </c>
      <c r="P110" s="54">
        <f t="shared" si="40"/>
        <v>0</v>
      </c>
    </row>
    <row r="111" spans="1:16">
      <c r="B111" s="7" t="str">
        <f t="shared" si="37"/>
        <v/>
      </c>
      <c r="C111" s="50">
        <f>IF(D93="","-",+C110+1)</f>
        <v>2026</v>
      </c>
      <c r="D111" s="12">
        <f>IF(F110+SUM(E$99:E110)=D$92,F110,D$92-SUM(E$99:E110))</f>
        <v>1270482</v>
      </c>
      <c r="E111" s="354">
        <f t="shared" si="62"/>
        <v>46639</v>
      </c>
      <c r="F111" s="55">
        <f t="shared" si="63"/>
        <v>1223843</v>
      </c>
      <c r="G111" s="55">
        <f t="shared" si="64"/>
        <v>1247162.5</v>
      </c>
      <c r="H111" s="355">
        <f t="shared" si="65"/>
        <v>195825.93350296444</v>
      </c>
      <c r="I111" s="381">
        <f t="shared" si="66"/>
        <v>195825.93350296444</v>
      </c>
      <c r="J111" s="54">
        <f t="shared" si="38"/>
        <v>0</v>
      </c>
      <c r="K111" s="54"/>
      <c r="L111" s="115"/>
      <c r="M111" s="54">
        <f t="shared" si="67"/>
        <v>0</v>
      </c>
      <c r="N111" s="115"/>
      <c r="O111" s="54">
        <f t="shared" si="39"/>
        <v>0</v>
      </c>
      <c r="P111" s="54">
        <f t="shared" si="40"/>
        <v>0</v>
      </c>
    </row>
    <row r="112" spans="1:16">
      <c r="B112" s="7" t="str">
        <f t="shared" si="37"/>
        <v/>
      </c>
      <c r="C112" s="50">
        <f>IF(D93="","-",+C111+1)</f>
        <v>2027</v>
      </c>
      <c r="D112" s="12">
        <f>IF(F111+SUM(E$99:E111)=D$92,F111,D$92-SUM(E$99:E111))</f>
        <v>1223843</v>
      </c>
      <c r="E112" s="354">
        <f t="shared" si="62"/>
        <v>46639</v>
      </c>
      <c r="F112" s="55">
        <f t="shared" si="63"/>
        <v>1177204</v>
      </c>
      <c r="G112" s="55">
        <f t="shared" si="64"/>
        <v>1200523.5</v>
      </c>
      <c r="H112" s="355">
        <f t="shared" si="65"/>
        <v>190246.9256418038</v>
      </c>
      <c r="I112" s="381">
        <f t="shared" si="66"/>
        <v>190246.9256418038</v>
      </c>
      <c r="J112" s="54">
        <f t="shared" si="38"/>
        <v>0</v>
      </c>
      <c r="K112" s="54"/>
      <c r="L112" s="115"/>
      <c r="M112" s="54">
        <f t="shared" si="67"/>
        <v>0</v>
      </c>
      <c r="N112" s="115"/>
      <c r="O112" s="54">
        <f t="shared" si="39"/>
        <v>0</v>
      </c>
      <c r="P112" s="54">
        <f t="shared" si="40"/>
        <v>0</v>
      </c>
    </row>
    <row r="113" spans="2:16">
      <c r="B113" s="7" t="str">
        <f t="shared" si="37"/>
        <v/>
      </c>
      <c r="C113" s="50">
        <f>IF(D93="","-",+C112+1)</f>
        <v>2028</v>
      </c>
      <c r="D113" s="12">
        <f>IF(F112+SUM(E$99:E112)=D$92,F112,D$92-SUM(E$99:E112))</f>
        <v>1177204</v>
      </c>
      <c r="E113" s="354">
        <f t="shared" si="62"/>
        <v>46639</v>
      </c>
      <c r="F113" s="55">
        <f t="shared" si="63"/>
        <v>1130565</v>
      </c>
      <c r="G113" s="55">
        <f t="shared" si="64"/>
        <v>1153884.5</v>
      </c>
      <c r="H113" s="355">
        <f t="shared" si="65"/>
        <v>184667.91778064315</v>
      </c>
      <c r="I113" s="381">
        <f t="shared" si="66"/>
        <v>184667.91778064315</v>
      </c>
      <c r="J113" s="54">
        <f t="shared" si="38"/>
        <v>0</v>
      </c>
      <c r="K113" s="54"/>
      <c r="L113" s="115"/>
      <c r="M113" s="54">
        <f t="shared" si="67"/>
        <v>0</v>
      </c>
      <c r="N113" s="115"/>
      <c r="O113" s="54">
        <f t="shared" si="39"/>
        <v>0</v>
      </c>
      <c r="P113" s="54">
        <f t="shared" si="40"/>
        <v>0</v>
      </c>
    </row>
    <row r="114" spans="2:16">
      <c r="B114" s="7" t="str">
        <f t="shared" si="37"/>
        <v/>
      </c>
      <c r="C114" s="50">
        <f>IF(D93="","-",+C113+1)</f>
        <v>2029</v>
      </c>
      <c r="D114" s="12">
        <f>IF(F113+SUM(E$99:E113)=D$92,F113,D$92-SUM(E$99:E113))</f>
        <v>1130565</v>
      </c>
      <c r="E114" s="354">
        <f t="shared" si="62"/>
        <v>46639</v>
      </c>
      <c r="F114" s="55">
        <f t="shared" si="63"/>
        <v>1083926</v>
      </c>
      <c r="G114" s="55">
        <f t="shared" si="64"/>
        <v>1107245.5</v>
      </c>
      <c r="H114" s="355">
        <f t="shared" si="65"/>
        <v>179088.90991948251</v>
      </c>
      <c r="I114" s="381">
        <f t="shared" si="66"/>
        <v>179088.90991948251</v>
      </c>
      <c r="J114" s="54">
        <f t="shared" si="38"/>
        <v>0</v>
      </c>
      <c r="K114" s="54"/>
      <c r="L114" s="115"/>
      <c r="M114" s="54">
        <f t="shared" si="67"/>
        <v>0</v>
      </c>
      <c r="N114" s="115"/>
      <c r="O114" s="54">
        <f t="shared" si="39"/>
        <v>0</v>
      </c>
      <c r="P114" s="54">
        <f t="shared" si="40"/>
        <v>0</v>
      </c>
    </row>
    <row r="115" spans="2:16">
      <c r="B115" s="7" t="str">
        <f t="shared" si="37"/>
        <v/>
      </c>
      <c r="C115" s="50">
        <f>IF(D93="","-",+C114+1)</f>
        <v>2030</v>
      </c>
      <c r="D115" s="12">
        <f>IF(F114+SUM(E$99:E114)=D$92,F114,D$92-SUM(E$99:E114))</f>
        <v>1083926</v>
      </c>
      <c r="E115" s="354">
        <f t="shared" si="62"/>
        <v>46639</v>
      </c>
      <c r="F115" s="55">
        <f t="shared" si="63"/>
        <v>1037287</v>
      </c>
      <c r="G115" s="55">
        <f t="shared" si="64"/>
        <v>1060606.5</v>
      </c>
      <c r="H115" s="355">
        <f t="shared" si="65"/>
        <v>173509.90205832187</v>
      </c>
      <c r="I115" s="381">
        <f t="shared" si="66"/>
        <v>173509.90205832187</v>
      </c>
      <c r="J115" s="54">
        <f t="shared" si="38"/>
        <v>0</v>
      </c>
      <c r="K115" s="54"/>
      <c r="L115" s="115"/>
      <c r="M115" s="54">
        <f t="shared" si="67"/>
        <v>0</v>
      </c>
      <c r="N115" s="115"/>
      <c r="O115" s="54">
        <f t="shared" si="39"/>
        <v>0</v>
      </c>
      <c r="P115" s="54">
        <f t="shared" si="40"/>
        <v>0</v>
      </c>
    </row>
    <row r="116" spans="2:16">
      <c r="B116" s="7" t="str">
        <f t="shared" si="37"/>
        <v/>
      </c>
      <c r="C116" s="50">
        <f>IF(D93="","-",+C115+1)</f>
        <v>2031</v>
      </c>
      <c r="D116" s="12">
        <f>IF(F115+SUM(E$99:E115)=D$92,F115,D$92-SUM(E$99:E115))</f>
        <v>1037287</v>
      </c>
      <c r="E116" s="354">
        <f t="shared" si="62"/>
        <v>46639</v>
      </c>
      <c r="F116" s="55">
        <f t="shared" si="63"/>
        <v>990648</v>
      </c>
      <c r="G116" s="55">
        <f t="shared" si="64"/>
        <v>1013967.5</v>
      </c>
      <c r="H116" s="355">
        <f t="shared" si="65"/>
        <v>167930.89419716125</v>
      </c>
      <c r="I116" s="381">
        <f t="shared" si="66"/>
        <v>167930.89419716125</v>
      </c>
      <c r="J116" s="54">
        <f t="shared" si="38"/>
        <v>0</v>
      </c>
      <c r="K116" s="54"/>
      <c r="L116" s="115"/>
      <c r="M116" s="54">
        <f t="shared" si="67"/>
        <v>0</v>
      </c>
      <c r="N116" s="115"/>
      <c r="O116" s="54">
        <f t="shared" si="39"/>
        <v>0</v>
      </c>
      <c r="P116" s="54">
        <f t="shared" si="40"/>
        <v>0</v>
      </c>
    </row>
    <row r="117" spans="2:16">
      <c r="B117" s="7" t="str">
        <f t="shared" si="37"/>
        <v/>
      </c>
      <c r="C117" s="50">
        <f>IF(D93="","-",+C116+1)</f>
        <v>2032</v>
      </c>
      <c r="D117" s="12">
        <f>IF(F116+SUM(E$99:E116)=D$92,F116,D$92-SUM(E$99:E116))</f>
        <v>990648</v>
      </c>
      <c r="E117" s="354">
        <f t="shared" si="62"/>
        <v>46639</v>
      </c>
      <c r="F117" s="55">
        <f t="shared" si="63"/>
        <v>944009</v>
      </c>
      <c r="G117" s="55">
        <f t="shared" si="64"/>
        <v>967328.5</v>
      </c>
      <c r="H117" s="355">
        <f t="shared" si="65"/>
        <v>162351.88633600058</v>
      </c>
      <c r="I117" s="381">
        <f t="shared" si="66"/>
        <v>162351.88633600058</v>
      </c>
      <c r="J117" s="54">
        <f t="shared" si="38"/>
        <v>0</v>
      </c>
      <c r="K117" s="54"/>
      <c r="L117" s="115"/>
      <c r="M117" s="54">
        <f t="shared" si="67"/>
        <v>0</v>
      </c>
      <c r="N117" s="115"/>
      <c r="O117" s="54">
        <f t="shared" si="39"/>
        <v>0</v>
      </c>
      <c r="P117" s="54">
        <f t="shared" si="40"/>
        <v>0</v>
      </c>
    </row>
    <row r="118" spans="2:16">
      <c r="B118" s="7" t="str">
        <f t="shared" si="37"/>
        <v/>
      </c>
      <c r="C118" s="50">
        <f>IF(D93="","-",+C117+1)</f>
        <v>2033</v>
      </c>
      <c r="D118" s="12">
        <f>IF(F117+SUM(E$99:E117)=D$92,F117,D$92-SUM(E$99:E117))</f>
        <v>944009</v>
      </c>
      <c r="E118" s="354">
        <f t="shared" si="62"/>
        <v>46639</v>
      </c>
      <c r="F118" s="55">
        <f t="shared" si="63"/>
        <v>897370</v>
      </c>
      <c r="G118" s="55">
        <f t="shared" si="64"/>
        <v>920689.5</v>
      </c>
      <c r="H118" s="355">
        <f t="shared" si="65"/>
        <v>156772.87847483996</v>
      </c>
      <c r="I118" s="381">
        <f t="shared" si="66"/>
        <v>156772.87847483996</v>
      </c>
      <c r="J118" s="54">
        <f t="shared" si="38"/>
        <v>0</v>
      </c>
      <c r="K118" s="54"/>
      <c r="L118" s="115"/>
      <c r="M118" s="54">
        <f t="shared" si="67"/>
        <v>0</v>
      </c>
      <c r="N118" s="115"/>
      <c r="O118" s="54">
        <f t="shared" si="39"/>
        <v>0</v>
      </c>
      <c r="P118" s="54">
        <f t="shared" si="40"/>
        <v>0</v>
      </c>
    </row>
    <row r="119" spans="2:16">
      <c r="B119" s="7" t="str">
        <f t="shared" si="37"/>
        <v/>
      </c>
      <c r="C119" s="50">
        <f>IF(D93="","-",+C118+1)</f>
        <v>2034</v>
      </c>
      <c r="D119" s="12">
        <f>IF(F118+SUM(E$99:E118)=D$92,F118,D$92-SUM(E$99:E118))</f>
        <v>897370</v>
      </c>
      <c r="E119" s="354">
        <f t="shared" si="62"/>
        <v>46639</v>
      </c>
      <c r="F119" s="55">
        <f t="shared" si="63"/>
        <v>850731</v>
      </c>
      <c r="G119" s="55">
        <f t="shared" si="64"/>
        <v>874050.5</v>
      </c>
      <c r="H119" s="355">
        <f t="shared" si="65"/>
        <v>151193.87061367929</v>
      </c>
      <c r="I119" s="381">
        <f t="shared" si="66"/>
        <v>151193.87061367929</v>
      </c>
      <c r="J119" s="54">
        <f t="shared" si="38"/>
        <v>0</v>
      </c>
      <c r="K119" s="54"/>
      <c r="L119" s="115"/>
      <c r="M119" s="54">
        <f t="shared" si="67"/>
        <v>0</v>
      </c>
      <c r="N119" s="115"/>
      <c r="O119" s="54">
        <f t="shared" si="39"/>
        <v>0</v>
      </c>
      <c r="P119" s="54">
        <f t="shared" si="40"/>
        <v>0</v>
      </c>
    </row>
    <row r="120" spans="2:16">
      <c r="B120" s="7" t="str">
        <f t="shared" si="37"/>
        <v/>
      </c>
      <c r="C120" s="50">
        <f>IF(D93="","-",+C119+1)</f>
        <v>2035</v>
      </c>
      <c r="D120" s="12">
        <f>IF(F119+SUM(E$99:E119)=D$92,F119,D$92-SUM(E$99:E119))</f>
        <v>850731</v>
      </c>
      <c r="E120" s="354">
        <f t="shared" si="62"/>
        <v>46639</v>
      </c>
      <c r="F120" s="55">
        <f t="shared" si="63"/>
        <v>804092</v>
      </c>
      <c r="G120" s="55">
        <f t="shared" si="64"/>
        <v>827411.5</v>
      </c>
      <c r="H120" s="355">
        <f t="shared" si="65"/>
        <v>145614.86275251867</v>
      </c>
      <c r="I120" s="381">
        <f t="shared" si="66"/>
        <v>145614.86275251867</v>
      </c>
      <c r="J120" s="54">
        <f t="shared" si="38"/>
        <v>0</v>
      </c>
      <c r="K120" s="54"/>
      <c r="L120" s="115"/>
      <c r="M120" s="54">
        <f t="shared" si="67"/>
        <v>0</v>
      </c>
      <c r="N120" s="115"/>
      <c r="O120" s="54">
        <f t="shared" si="39"/>
        <v>0</v>
      </c>
      <c r="P120" s="54">
        <f t="shared" si="40"/>
        <v>0</v>
      </c>
    </row>
    <row r="121" spans="2:16">
      <c r="B121" s="7" t="str">
        <f t="shared" si="37"/>
        <v/>
      </c>
      <c r="C121" s="50">
        <f>IF(D93="","-",+C120+1)</f>
        <v>2036</v>
      </c>
      <c r="D121" s="12">
        <f>IF(F120+SUM(E$99:E120)=D$92,F120,D$92-SUM(E$99:E120))</f>
        <v>804092</v>
      </c>
      <c r="E121" s="354">
        <f t="shared" si="62"/>
        <v>46639</v>
      </c>
      <c r="F121" s="55">
        <f t="shared" si="63"/>
        <v>757453</v>
      </c>
      <c r="G121" s="55">
        <f t="shared" si="64"/>
        <v>780772.5</v>
      </c>
      <c r="H121" s="355">
        <f t="shared" si="65"/>
        <v>140035.85489135803</v>
      </c>
      <c r="I121" s="381">
        <f t="shared" si="66"/>
        <v>140035.85489135803</v>
      </c>
      <c r="J121" s="54">
        <f t="shared" si="38"/>
        <v>0</v>
      </c>
      <c r="K121" s="54"/>
      <c r="L121" s="115"/>
      <c r="M121" s="54">
        <f t="shared" si="67"/>
        <v>0</v>
      </c>
      <c r="N121" s="115"/>
      <c r="O121" s="54">
        <f t="shared" si="39"/>
        <v>0</v>
      </c>
      <c r="P121" s="54">
        <f t="shared" si="40"/>
        <v>0</v>
      </c>
    </row>
    <row r="122" spans="2:16">
      <c r="B122" s="7" t="str">
        <f t="shared" si="37"/>
        <v/>
      </c>
      <c r="C122" s="50">
        <f>IF(D93="","-",+C121+1)</f>
        <v>2037</v>
      </c>
      <c r="D122" s="12">
        <f>IF(F121+SUM(E$99:E121)=D$92,F121,D$92-SUM(E$99:E121))</f>
        <v>757453</v>
      </c>
      <c r="E122" s="354">
        <f t="shared" si="62"/>
        <v>46639</v>
      </c>
      <c r="F122" s="55">
        <f t="shared" si="63"/>
        <v>710814</v>
      </c>
      <c r="G122" s="55">
        <f t="shared" si="64"/>
        <v>734133.5</v>
      </c>
      <c r="H122" s="355">
        <f t="shared" si="65"/>
        <v>134456.84703019739</v>
      </c>
      <c r="I122" s="381">
        <f t="shared" si="66"/>
        <v>134456.84703019739</v>
      </c>
      <c r="J122" s="54">
        <f t="shared" si="38"/>
        <v>0</v>
      </c>
      <c r="K122" s="54"/>
      <c r="L122" s="115"/>
      <c r="M122" s="54">
        <f t="shared" si="67"/>
        <v>0</v>
      </c>
      <c r="N122" s="115"/>
      <c r="O122" s="54">
        <f t="shared" si="39"/>
        <v>0</v>
      </c>
      <c r="P122" s="54">
        <f t="shared" si="40"/>
        <v>0</v>
      </c>
    </row>
    <row r="123" spans="2:16">
      <c r="B123" s="7" t="str">
        <f t="shared" si="37"/>
        <v/>
      </c>
      <c r="C123" s="50">
        <f>IF(D93="","-",+C122+1)</f>
        <v>2038</v>
      </c>
      <c r="D123" s="12">
        <f>IF(F122+SUM(E$99:E122)=D$92,F122,D$92-SUM(E$99:E122))</f>
        <v>710814</v>
      </c>
      <c r="E123" s="354">
        <f t="shared" si="62"/>
        <v>46639</v>
      </c>
      <c r="F123" s="55">
        <f t="shared" si="63"/>
        <v>664175</v>
      </c>
      <c r="G123" s="55">
        <f t="shared" si="64"/>
        <v>687494.5</v>
      </c>
      <c r="H123" s="355">
        <f t="shared" si="65"/>
        <v>128877.83916903674</v>
      </c>
      <c r="I123" s="381">
        <f t="shared" si="66"/>
        <v>128877.83916903674</v>
      </c>
      <c r="J123" s="54">
        <f t="shared" si="38"/>
        <v>0</v>
      </c>
      <c r="K123" s="54"/>
      <c r="L123" s="115"/>
      <c r="M123" s="54">
        <f t="shared" si="67"/>
        <v>0</v>
      </c>
      <c r="N123" s="115"/>
      <c r="O123" s="54">
        <f t="shared" si="39"/>
        <v>0</v>
      </c>
      <c r="P123" s="54">
        <f t="shared" si="40"/>
        <v>0</v>
      </c>
    </row>
    <row r="124" spans="2:16">
      <c r="B124" s="7" t="str">
        <f t="shared" si="37"/>
        <v/>
      </c>
      <c r="C124" s="50">
        <f>IF(D93="","-",+C123+1)</f>
        <v>2039</v>
      </c>
      <c r="D124" s="12">
        <f>IF(F123+SUM(E$99:E123)=D$92,F123,D$92-SUM(E$99:E123))</f>
        <v>664175</v>
      </c>
      <c r="E124" s="354">
        <f t="shared" si="62"/>
        <v>46639</v>
      </c>
      <c r="F124" s="55">
        <f t="shared" si="63"/>
        <v>617536</v>
      </c>
      <c r="G124" s="55">
        <f t="shared" si="64"/>
        <v>640855.5</v>
      </c>
      <c r="H124" s="355">
        <f t="shared" si="65"/>
        <v>123298.8313078761</v>
      </c>
      <c r="I124" s="381">
        <f t="shared" si="66"/>
        <v>123298.8313078761</v>
      </c>
      <c r="J124" s="54">
        <f t="shared" si="38"/>
        <v>0</v>
      </c>
      <c r="K124" s="54"/>
      <c r="L124" s="115"/>
      <c r="M124" s="54">
        <f t="shared" si="67"/>
        <v>0</v>
      </c>
      <c r="N124" s="115"/>
      <c r="O124" s="54">
        <f t="shared" si="39"/>
        <v>0</v>
      </c>
      <c r="P124" s="54">
        <f t="shared" si="40"/>
        <v>0</v>
      </c>
    </row>
    <row r="125" spans="2:16">
      <c r="B125" s="7" t="str">
        <f t="shared" si="37"/>
        <v/>
      </c>
      <c r="C125" s="50">
        <f>IF(D93="","-",+C124+1)</f>
        <v>2040</v>
      </c>
      <c r="D125" s="12">
        <f>IF(F124+SUM(E$99:E124)=D$92,F124,D$92-SUM(E$99:E124))</f>
        <v>617536</v>
      </c>
      <c r="E125" s="354">
        <f t="shared" si="62"/>
        <v>46639</v>
      </c>
      <c r="F125" s="55">
        <f t="shared" si="63"/>
        <v>570897</v>
      </c>
      <c r="G125" s="55">
        <f t="shared" si="64"/>
        <v>594216.5</v>
      </c>
      <c r="H125" s="355">
        <f t="shared" si="65"/>
        <v>117719.82344671545</v>
      </c>
      <c r="I125" s="381">
        <f t="shared" si="66"/>
        <v>117719.82344671545</v>
      </c>
      <c r="J125" s="54">
        <f t="shared" si="38"/>
        <v>0</v>
      </c>
      <c r="K125" s="54"/>
      <c r="L125" s="115"/>
      <c r="M125" s="54">
        <f t="shared" si="67"/>
        <v>0</v>
      </c>
      <c r="N125" s="115"/>
      <c r="O125" s="54">
        <f t="shared" si="39"/>
        <v>0</v>
      </c>
      <c r="P125" s="54">
        <f t="shared" si="40"/>
        <v>0</v>
      </c>
    </row>
    <row r="126" spans="2:16">
      <c r="B126" s="7" t="str">
        <f t="shared" si="37"/>
        <v/>
      </c>
      <c r="C126" s="50">
        <f>IF(D93="","-",+C125+1)</f>
        <v>2041</v>
      </c>
      <c r="D126" s="12">
        <f>IF(F125+SUM(E$99:E125)=D$92,F125,D$92-SUM(E$99:E125))</f>
        <v>570897</v>
      </c>
      <c r="E126" s="354">
        <f t="shared" si="62"/>
        <v>46639</v>
      </c>
      <c r="F126" s="55">
        <f t="shared" si="63"/>
        <v>524258</v>
      </c>
      <c r="G126" s="55">
        <f t="shared" si="64"/>
        <v>547577.5</v>
      </c>
      <c r="H126" s="355">
        <f t="shared" si="65"/>
        <v>112140.81558555481</v>
      </c>
      <c r="I126" s="381">
        <f t="shared" si="66"/>
        <v>112140.81558555481</v>
      </c>
      <c r="J126" s="54">
        <f t="shared" si="38"/>
        <v>0</v>
      </c>
      <c r="K126" s="54"/>
      <c r="L126" s="115"/>
      <c r="M126" s="54">
        <f t="shared" si="67"/>
        <v>0</v>
      </c>
      <c r="N126" s="115"/>
      <c r="O126" s="54">
        <f t="shared" si="39"/>
        <v>0</v>
      </c>
      <c r="P126" s="54">
        <f t="shared" si="40"/>
        <v>0</v>
      </c>
    </row>
    <row r="127" spans="2:16">
      <c r="B127" s="7" t="str">
        <f t="shared" si="37"/>
        <v/>
      </c>
      <c r="C127" s="50">
        <f>IF(D93="","-",+C126+1)</f>
        <v>2042</v>
      </c>
      <c r="D127" s="12">
        <f>IF(F126+SUM(E$99:E126)=D$92,F126,D$92-SUM(E$99:E126))</f>
        <v>524258</v>
      </c>
      <c r="E127" s="354">
        <f t="shared" si="62"/>
        <v>46639</v>
      </c>
      <c r="F127" s="55">
        <f t="shared" si="63"/>
        <v>477619</v>
      </c>
      <c r="G127" s="55">
        <f t="shared" si="64"/>
        <v>500938.5</v>
      </c>
      <c r="H127" s="355">
        <f t="shared" si="65"/>
        <v>106561.80772439418</v>
      </c>
      <c r="I127" s="381">
        <f t="shared" si="66"/>
        <v>106561.80772439418</v>
      </c>
      <c r="J127" s="54">
        <f t="shared" si="38"/>
        <v>0</v>
      </c>
      <c r="K127" s="54"/>
      <c r="L127" s="115"/>
      <c r="M127" s="54">
        <f t="shared" si="67"/>
        <v>0</v>
      </c>
      <c r="N127" s="115"/>
      <c r="O127" s="54">
        <f t="shared" si="39"/>
        <v>0</v>
      </c>
      <c r="P127" s="54">
        <f t="shared" si="40"/>
        <v>0</v>
      </c>
    </row>
    <row r="128" spans="2:16">
      <c r="B128" s="7" t="str">
        <f t="shared" si="37"/>
        <v/>
      </c>
      <c r="C128" s="50">
        <f>IF(D93="","-",+C127+1)</f>
        <v>2043</v>
      </c>
      <c r="D128" s="12">
        <f>IF(F127+SUM(E$99:E127)=D$92,F127,D$92-SUM(E$99:E127))</f>
        <v>477619</v>
      </c>
      <c r="E128" s="354">
        <f t="shared" si="62"/>
        <v>46639</v>
      </c>
      <c r="F128" s="55">
        <f t="shared" si="63"/>
        <v>430980</v>
      </c>
      <c r="G128" s="55">
        <f t="shared" si="64"/>
        <v>454299.5</v>
      </c>
      <c r="H128" s="355">
        <f t="shared" si="65"/>
        <v>100982.79986323354</v>
      </c>
      <c r="I128" s="381">
        <f t="shared" si="66"/>
        <v>100982.79986323354</v>
      </c>
      <c r="J128" s="54">
        <f t="shared" si="38"/>
        <v>0</v>
      </c>
      <c r="K128" s="54"/>
      <c r="L128" s="115"/>
      <c r="M128" s="54">
        <f t="shared" si="67"/>
        <v>0</v>
      </c>
      <c r="N128" s="115"/>
      <c r="O128" s="54">
        <f t="shared" si="39"/>
        <v>0</v>
      </c>
      <c r="P128" s="54">
        <f t="shared" si="40"/>
        <v>0</v>
      </c>
    </row>
    <row r="129" spans="2:16">
      <c r="B129" s="7" t="str">
        <f t="shared" si="37"/>
        <v/>
      </c>
      <c r="C129" s="50">
        <f>IF(D93="","-",+C128+1)</f>
        <v>2044</v>
      </c>
      <c r="D129" s="12">
        <f>IF(F128+SUM(E$99:E128)=D$92,F128,D$92-SUM(E$99:E128))</f>
        <v>430980</v>
      </c>
      <c r="E129" s="354">
        <f t="shared" si="62"/>
        <v>46639</v>
      </c>
      <c r="F129" s="55">
        <f t="shared" si="63"/>
        <v>384341</v>
      </c>
      <c r="G129" s="55">
        <f t="shared" si="64"/>
        <v>407660.5</v>
      </c>
      <c r="H129" s="355">
        <f t="shared" si="65"/>
        <v>95403.792002072893</v>
      </c>
      <c r="I129" s="381">
        <f t="shared" si="66"/>
        <v>95403.792002072893</v>
      </c>
      <c r="J129" s="54">
        <f t="shared" si="38"/>
        <v>0</v>
      </c>
      <c r="K129" s="54"/>
      <c r="L129" s="115"/>
      <c r="M129" s="54">
        <f t="shared" si="67"/>
        <v>0</v>
      </c>
      <c r="N129" s="115"/>
      <c r="O129" s="54">
        <f t="shared" si="39"/>
        <v>0</v>
      </c>
      <c r="P129" s="54">
        <f t="shared" si="40"/>
        <v>0</v>
      </c>
    </row>
    <row r="130" spans="2:16">
      <c r="B130" s="7" t="str">
        <f t="shared" si="37"/>
        <v/>
      </c>
      <c r="C130" s="50">
        <f>IF(D93="","-",+C129+1)</f>
        <v>2045</v>
      </c>
      <c r="D130" s="12">
        <f>IF(F129+SUM(E$99:E129)=D$92,F129,D$92-SUM(E$99:E129))</f>
        <v>384341</v>
      </c>
      <c r="E130" s="354">
        <f t="shared" si="62"/>
        <v>46639</v>
      </c>
      <c r="F130" s="55">
        <f t="shared" si="63"/>
        <v>337702</v>
      </c>
      <c r="G130" s="55">
        <f t="shared" si="64"/>
        <v>361021.5</v>
      </c>
      <c r="H130" s="355">
        <f t="shared" si="65"/>
        <v>89824.784140912263</v>
      </c>
      <c r="I130" s="381">
        <f t="shared" si="66"/>
        <v>89824.784140912263</v>
      </c>
      <c r="J130" s="54">
        <f t="shared" si="38"/>
        <v>0</v>
      </c>
      <c r="K130" s="54"/>
      <c r="L130" s="115"/>
      <c r="M130" s="54">
        <f t="shared" si="67"/>
        <v>0</v>
      </c>
      <c r="N130" s="115"/>
      <c r="O130" s="54">
        <f t="shared" si="39"/>
        <v>0</v>
      </c>
      <c r="P130" s="54">
        <f t="shared" si="40"/>
        <v>0</v>
      </c>
    </row>
    <row r="131" spans="2:16">
      <c r="B131" s="7" t="str">
        <f t="shared" si="37"/>
        <v/>
      </c>
      <c r="C131" s="50">
        <f>IF(D93="","-",+C130+1)</f>
        <v>2046</v>
      </c>
      <c r="D131" s="12">
        <f>IF(F130+SUM(E$99:E130)=D$92,F130,D$92-SUM(E$99:E130))</f>
        <v>337702</v>
      </c>
      <c r="E131" s="354">
        <f t="shared" si="62"/>
        <v>46639</v>
      </c>
      <c r="F131" s="55">
        <f t="shared" si="63"/>
        <v>291063</v>
      </c>
      <c r="G131" s="55">
        <f t="shared" si="64"/>
        <v>314382.5</v>
      </c>
      <c r="H131" s="355">
        <f t="shared" si="65"/>
        <v>84245.776279751619</v>
      </c>
      <c r="I131" s="381">
        <f t="shared" si="66"/>
        <v>84245.776279751619</v>
      </c>
      <c r="J131" s="54">
        <f t="shared" si="38"/>
        <v>0</v>
      </c>
      <c r="K131" s="54"/>
      <c r="L131" s="115"/>
      <c r="M131" s="54">
        <f t="shared" ref="M131:M154" si="68">IF(L541&lt;&gt;0,+H541-L541,0)</f>
        <v>0</v>
      </c>
      <c r="N131" s="115"/>
      <c r="O131" s="54">
        <f t="shared" ref="O131:O154" si="69">IF(N541&lt;&gt;0,+I541-N541,0)</f>
        <v>0</v>
      </c>
      <c r="P131" s="54">
        <f t="shared" ref="P131:P154" si="70">+O541-M541</f>
        <v>0</v>
      </c>
    </row>
    <row r="132" spans="2:16">
      <c r="B132" s="7" t="str">
        <f t="shared" si="37"/>
        <v/>
      </c>
      <c r="C132" s="50">
        <f>IF(D93="","-",+C131+1)</f>
        <v>2047</v>
      </c>
      <c r="D132" s="12">
        <f>IF(F131+SUM(E$99:E131)=D$92,F131,D$92-SUM(E$99:E131))</f>
        <v>291063</v>
      </c>
      <c r="E132" s="354">
        <f t="shared" si="62"/>
        <v>46639</v>
      </c>
      <c r="F132" s="55">
        <f t="shared" si="63"/>
        <v>244424</v>
      </c>
      <c r="G132" s="55">
        <f t="shared" si="64"/>
        <v>267743.5</v>
      </c>
      <c r="H132" s="355">
        <f t="shared" si="65"/>
        <v>78666.768418590975</v>
      </c>
      <c r="I132" s="381">
        <f t="shared" si="66"/>
        <v>78666.768418590975</v>
      </c>
      <c r="J132" s="54">
        <f t="shared" si="38"/>
        <v>0</v>
      </c>
      <c r="K132" s="54"/>
      <c r="L132" s="115"/>
      <c r="M132" s="54">
        <f t="shared" si="68"/>
        <v>0</v>
      </c>
      <c r="N132" s="115"/>
      <c r="O132" s="54">
        <f t="shared" si="69"/>
        <v>0</v>
      </c>
      <c r="P132" s="54">
        <f t="shared" si="70"/>
        <v>0</v>
      </c>
    </row>
    <row r="133" spans="2:16">
      <c r="B133" s="7" t="str">
        <f t="shared" si="37"/>
        <v/>
      </c>
      <c r="C133" s="50">
        <f>IF(D93="","-",+C132+1)</f>
        <v>2048</v>
      </c>
      <c r="D133" s="12">
        <f>IF(F132+SUM(E$99:E132)=D$92,F132,D$92-SUM(E$99:E132))</f>
        <v>244424</v>
      </c>
      <c r="E133" s="354">
        <f t="shared" si="62"/>
        <v>46639</v>
      </c>
      <c r="F133" s="55">
        <f t="shared" si="63"/>
        <v>197785</v>
      </c>
      <c r="G133" s="55">
        <f t="shared" si="64"/>
        <v>221104.5</v>
      </c>
      <c r="H133" s="355">
        <f t="shared" si="65"/>
        <v>73087.760557430331</v>
      </c>
      <c r="I133" s="381">
        <f t="shared" si="66"/>
        <v>73087.760557430331</v>
      </c>
      <c r="J133" s="54">
        <f t="shared" si="38"/>
        <v>0</v>
      </c>
      <c r="K133" s="54"/>
      <c r="L133" s="115"/>
      <c r="M133" s="54">
        <f t="shared" si="68"/>
        <v>0</v>
      </c>
      <c r="N133" s="115"/>
      <c r="O133" s="54">
        <f t="shared" si="69"/>
        <v>0</v>
      </c>
      <c r="P133" s="54">
        <f t="shared" si="70"/>
        <v>0</v>
      </c>
    </row>
    <row r="134" spans="2:16">
      <c r="B134" s="7" t="str">
        <f t="shared" si="37"/>
        <v/>
      </c>
      <c r="C134" s="50">
        <f>IF(D93="","-",+C133+1)</f>
        <v>2049</v>
      </c>
      <c r="D134" s="12">
        <f>IF(F133+SUM(E$99:E133)=D$92,F133,D$92-SUM(E$99:E133))</f>
        <v>197785</v>
      </c>
      <c r="E134" s="354">
        <f t="shared" si="62"/>
        <v>46639</v>
      </c>
      <c r="F134" s="55">
        <f t="shared" si="63"/>
        <v>151146</v>
      </c>
      <c r="G134" s="55">
        <f t="shared" si="64"/>
        <v>174465.5</v>
      </c>
      <c r="H134" s="355">
        <f t="shared" si="65"/>
        <v>67508.752696269687</v>
      </c>
      <c r="I134" s="381">
        <f t="shared" si="66"/>
        <v>67508.752696269687</v>
      </c>
      <c r="J134" s="54">
        <f t="shared" si="38"/>
        <v>0</v>
      </c>
      <c r="K134" s="54"/>
      <c r="L134" s="115"/>
      <c r="M134" s="54">
        <f t="shared" si="68"/>
        <v>0</v>
      </c>
      <c r="N134" s="115"/>
      <c r="O134" s="54">
        <f t="shared" si="69"/>
        <v>0</v>
      </c>
      <c r="P134" s="54">
        <f t="shared" si="70"/>
        <v>0</v>
      </c>
    </row>
    <row r="135" spans="2:16">
      <c r="B135" s="7" t="str">
        <f t="shared" si="37"/>
        <v/>
      </c>
      <c r="C135" s="50">
        <f>IF(D93="","-",+C134+1)</f>
        <v>2050</v>
      </c>
      <c r="D135" s="12">
        <f>IF(F134+SUM(E$99:E134)=D$92,F134,D$92-SUM(E$99:E134))</f>
        <v>151146</v>
      </c>
      <c r="E135" s="354">
        <f t="shared" si="62"/>
        <v>46639</v>
      </c>
      <c r="F135" s="55">
        <f t="shared" si="63"/>
        <v>104507</v>
      </c>
      <c r="G135" s="55">
        <f t="shared" si="64"/>
        <v>127826.5</v>
      </c>
      <c r="H135" s="355">
        <f t="shared" si="65"/>
        <v>61929.744835109042</v>
      </c>
      <c r="I135" s="381">
        <f t="shared" si="66"/>
        <v>61929.744835109042</v>
      </c>
      <c r="J135" s="54">
        <f t="shared" si="38"/>
        <v>0</v>
      </c>
      <c r="K135" s="54"/>
      <c r="L135" s="115"/>
      <c r="M135" s="54">
        <f t="shared" si="68"/>
        <v>0</v>
      </c>
      <c r="N135" s="115"/>
      <c r="O135" s="54">
        <f t="shared" si="69"/>
        <v>0</v>
      </c>
      <c r="P135" s="54">
        <f t="shared" si="70"/>
        <v>0</v>
      </c>
    </row>
    <row r="136" spans="2:16">
      <c r="B136" s="7" t="str">
        <f t="shared" si="37"/>
        <v/>
      </c>
      <c r="C136" s="50">
        <f>IF(D93="","-",+C135+1)</f>
        <v>2051</v>
      </c>
      <c r="D136" s="12">
        <f>IF(F135+SUM(E$99:E135)=D$92,F135,D$92-SUM(E$99:E135))</f>
        <v>104507</v>
      </c>
      <c r="E136" s="354">
        <f t="shared" si="62"/>
        <v>46639</v>
      </c>
      <c r="F136" s="55">
        <f t="shared" si="63"/>
        <v>57868</v>
      </c>
      <c r="G136" s="55">
        <f t="shared" si="64"/>
        <v>81187.5</v>
      </c>
      <c r="H136" s="355">
        <f t="shared" si="65"/>
        <v>56350.736973948406</v>
      </c>
      <c r="I136" s="381">
        <f t="shared" si="66"/>
        <v>56350.736973948406</v>
      </c>
      <c r="J136" s="54">
        <f t="shared" si="38"/>
        <v>0</v>
      </c>
      <c r="K136" s="54"/>
      <c r="L136" s="115"/>
      <c r="M136" s="54">
        <f t="shared" si="68"/>
        <v>0</v>
      </c>
      <c r="N136" s="115"/>
      <c r="O136" s="54">
        <f t="shared" si="69"/>
        <v>0</v>
      </c>
      <c r="P136" s="54">
        <f t="shared" si="70"/>
        <v>0</v>
      </c>
    </row>
    <row r="137" spans="2:16">
      <c r="B137" s="7" t="str">
        <f t="shared" si="37"/>
        <v/>
      </c>
      <c r="C137" s="50">
        <f>IF(D93="","-",+C136+1)</f>
        <v>2052</v>
      </c>
      <c r="D137" s="12">
        <f>IF(F136+SUM(E$99:E136)=D$92,F136,D$92-SUM(E$99:E136))</f>
        <v>57868</v>
      </c>
      <c r="E137" s="354">
        <f t="shared" si="62"/>
        <v>46639</v>
      </c>
      <c r="F137" s="55">
        <f t="shared" si="63"/>
        <v>11229</v>
      </c>
      <c r="G137" s="55">
        <f t="shared" si="64"/>
        <v>34548.5</v>
      </c>
      <c r="H137" s="355">
        <f t="shared" si="65"/>
        <v>50771.729112787762</v>
      </c>
      <c r="I137" s="381">
        <f t="shared" si="66"/>
        <v>50771.729112787762</v>
      </c>
      <c r="J137" s="54">
        <f t="shared" si="38"/>
        <v>0</v>
      </c>
      <c r="K137" s="54"/>
      <c r="L137" s="115"/>
      <c r="M137" s="54">
        <f t="shared" si="68"/>
        <v>0</v>
      </c>
      <c r="N137" s="115"/>
      <c r="O137" s="54">
        <f t="shared" si="69"/>
        <v>0</v>
      </c>
      <c r="P137" s="54">
        <f t="shared" si="70"/>
        <v>0</v>
      </c>
    </row>
    <row r="138" spans="2:16">
      <c r="B138" s="7" t="str">
        <f t="shared" si="37"/>
        <v/>
      </c>
      <c r="C138" s="50">
        <f>IF(D93="","-",+C137+1)</f>
        <v>2053</v>
      </c>
      <c r="D138" s="12">
        <f>IF(F137+SUM(E$99:E137)=D$92,F137,D$92-SUM(E$99:E137))</f>
        <v>11229</v>
      </c>
      <c r="E138" s="354">
        <f t="shared" si="62"/>
        <v>11229</v>
      </c>
      <c r="F138" s="55">
        <f t="shared" si="63"/>
        <v>0</v>
      </c>
      <c r="G138" s="55">
        <f t="shared" si="64"/>
        <v>5614.5</v>
      </c>
      <c r="H138" s="355">
        <f t="shared" si="65"/>
        <v>11900.61259110372</v>
      </c>
      <c r="I138" s="381">
        <f t="shared" si="66"/>
        <v>11900.61259110372</v>
      </c>
      <c r="J138" s="54">
        <f t="shared" si="38"/>
        <v>0</v>
      </c>
      <c r="K138" s="54"/>
      <c r="L138" s="115"/>
      <c r="M138" s="54">
        <f t="shared" si="68"/>
        <v>0</v>
      </c>
      <c r="N138" s="115"/>
      <c r="O138" s="54">
        <f t="shared" si="69"/>
        <v>0</v>
      </c>
      <c r="P138" s="54">
        <f t="shared" si="70"/>
        <v>0</v>
      </c>
    </row>
    <row r="139" spans="2:16">
      <c r="B139" s="7" t="str">
        <f t="shared" si="37"/>
        <v/>
      </c>
      <c r="C139" s="50">
        <f>IF(D93="","-",+C138+1)</f>
        <v>2054</v>
      </c>
      <c r="D139" s="12">
        <f>IF(F138+SUM(E$99:E138)=D$92,F138,D$92-SUM(E$99:E138))</f>
        <v>0</v>
      </c>
      <c r="E139" s="354">
        <f t="shared" si="62"/>
        <v>0</v>
      </c>
      <c r="F139" s="55">
        <f t="shared" si="63"/>
        <v>0</v>
      </c>
      <c r="G139" s="55">
        <f t="shared" si="64"/>
        <v>0</v>
      </c>
      <c r="H139" s="355">
        <f t="shared" si="65"/>
        <v>0</v>
      </c>
      <c r="I139" s="381">
        <f t="shared" si="66"/>
        <v>0</v>
      </c>
      <c r="J139" s="54">
        <f t="shared" si="38"/>
        <v>0</v>
      </c>
      <c r="K139" s="54"/>
      <c r="L139" s="115"/>
      <c r="M139" s="54">
        <f t="shared" si="68"/>
        <v>0</v>
      </c>
      <c r="N139" s="115"/>
      <c r="O139" s="54">
        <f t="shared" si="69"/>
        <v>0</v>
      </c>
      <c r="P139" s="54">
        <f t="shared" si="70"/>
        <v>0</v>
      </c>
    </row>
    <row r="140" spans="2:16">
      <c r="B140" s="7" t="str">
        <f t="shared" si="37"/>
        <v/>
      </c>
      <c r="C140" s="50">
        <f>IF(D93="","-",+C139+1)</f>
        <v>2055</v>
      </c>
      <c r="D140" s="12">
        <f>IF(F139+SUM(E$99:E139)=D$92,F139,D$92-SUM(E$99:E139))</f>
        <v>0</v>
      </c>
      <c r="E140" s="354">
        <f t="shared" si="62"/>
        <v>0</v>
      </c>
      <c r="F140" s="55">
        <f t="shared" si="63"/>
        <v>0</v>
      </c>
      <c r="G140" s="55">
        <f t="shared" si="64"/>
        <v>0</v>
      </c>
      <c r="H140" s="355">
        <f t="shared" si="65"/>
        <v>0</v>
      </c>
      <c r="I140" s="381">
        <f t="shared" si="66"/>
        <v>0</v>
      </c>
      <c r="J140" s="54">
        <f t="shared" si="38"/>
        <v>0</v>
      </c>
      <c r="K140" s="54"/>
      <c r="L140" s="115"/>
      <c r="M140" s="54">
        <f t="shared" si="68"/>
        <v>0</v>
      </c>
      <c r="N140" s="115"/>
      <c r="O140" s="54">
        <f t="shared" si="69"/>
        <v>0</v>
      </c>
      <c r="P140" s="54">
        <f t="shared" si="70"/>
        <v>0</v>
      </c>
    </row>
    <row r="141" spans="2:16">
      <c r="B141" s="7" t="str">
        <f t="shared" si="37"/>
        <v/>
      </c>
      <c r="C141" s="50">
        <f>IF(D93="","-",+C140+1)</f>
        <v>2056</v>
      </c>
      <c r="D141" s="12">
        <f>IF(F140+SUM(E$99:E140)=D$92,F140,D$92-SUM(E$99:E140))</f>
        <v>0</v>
      </c>
      <c r="E141" s="354">
        <f t="shared" si="62"/>
        <v>0</v>
      </c>
      <c r="F141" s="55">
        <f t="shared" si="63"/>
        <v>0</v>
      </c>
      <c r="G141" s="55">
        <f t="shared" si="64"/>
        <v>0</v>
      </c>
      <c r="H141" s="355">
        <f t="shared" si="65"/>
        <v>0</v>
      </c>
      <c r="I141" s="381">
        <f t="shared" si="66"/>
        <v>0</v>
      </c>
      <c r="J141" s="54">
        <f t="shared" si="38"/>
        <v>0</v>
      </c>
      <c r="K141" s="54"/>
      <c r="L141" s="115"/>
      <c r="M141" s="54">
        <f t="shared" si="68"/>
        <v>0</v>
      </c>
      <c r="N141" s="115"/>
      <c r="O141" s="54">
        <f t="shared" si="69"/>
        <v>0</v>
      </c>
      <c r="P141" s="54">
        <f t="shared" si="70"/>
        <v>0</v>
      </c>
    </row>
    <row r="142" spans="2:16">
      <c r="B142" s="7" t="str">
        <f t="shared" si="37"/>
        <v/>
      </c>
      <c r="C142" s="50">
        <f>IF(D93="","-",+C141+1)</f>
        <v>2057</v>
      </c>
      <c r="D142" s="12">
        <f>IF(F141+SUM(E$99:E141)=D$92,F141,D$92-SUM(E$99:E141))</f>
        <v>0</v>
      </c>
      <c r="E142" s="354">
        <f t="shared" si="62"/>
        <v>0</v>
      </c>
      <c r="F142" s="55">
        <f t="shared" si="63"/>
        <v>0</v>
      </c>
      <c r="G142" s="55">
        <f t="shared" si="64"/>
        <v>0</v>
      </c>
      <c r="H142" s="355">
        <f t="shared" si="65"/>
        <v>0</v>
      </c>
      <c r="I142" s="381">
        <f t="shared" si="66"/>
        <v>0</v>
      </c>
      <c r="J142" s="54">
        <f t="shared" si="38"/>
        <v>0</v>
      </c>
      <c r="K142" s="54"/>
      <c r="L142" s="115"/>
      <c r="M142" s="54">
        <f t="shared" si="68"/>
        <v>0</v>
      </c>
      <c r="N142" s="115"/>
      <c r="O142" s="54">
        <f t="shared" si="69"/>
        <v>0</v>
      </c>
      <c r="P142" s="54">
        <f t="shared" si="70"/>
        <v>0</v>
      </c>
    </row>
    <row r="143" spans="2:16">
      <c r="B143" s="7" t="str">
        <f t="shared" si="37"/>
        <v/>
      </c>
      <c r="C143" s="50">
        <f>IF(D93="","-",+C142+1)</f>
        <v>2058</v>
      </c>
      <c r="D143" s="12">
        <f>IF(F142+SUM(E$99:E142)=D$92,F142,D$92-SUM(E$99:E142))</f>
        <v>0</v>
      </c>
      <c r="E143" s="354">
        <f t="shared" si="62"/>
        <v>0</v>
      </c>
      <c r="F143" s="55">
        <f t="shared" si="63"/>
        <v>0</v>
      </c>
      <c r="G143" s="55">
        <f t="shared" si="64"/>
        <v>0</v>
      </c>
      <c r="H143" s="355">
        <f t="shared" si="65"/>
        <v>0</v>
      </c>
      <c r="I143" s="381">
        <f t="shared" si="66"/>
        <v>0</v>
      </c>
      <c r="J143" s="54">
        <f t="shared" si="38"/>
        <v>0</v>
      </c>
      <c r="K143" s="54"/>
      <c r="L143" s="115"/>
      <c r="M143" s="54">
        <f t="shared" si="68"/>
        <v>0</v>
      </c>
      <c r="N143" s="115"/>
      <c r="O143" s="54">
        <f t="shared" si="69"/>
        <v>0</v>
      </c>
      <c r="P143" s="54">
        <f t="shared" si="70"/>
        <v>0</v>
      </c>
    </row>
    <row r="144" spans="2:16">
      <c r="B144" s="7" t="str">
        <f t="shared" si="37"/>
        <v/>
      </c>
      <c r="C144" s="50">
        <f>IF(D93="","-",+C143+1)</f>
        <v>2059</v>
      </c>
      <c r="D144" s="12">
        <f>IF(F143+SUM(E$99:E143)=D$92,F143,D$92-SUM(E$99:E143))</f>
        <v>0</v>
      </c>
      <c r="E144" s="354">
        <f t="shared" si="62"/>
        <v>0</v>
      </c>
      <c r="F144" s="55">
        <f t="shared" si="63"/>
        <v>0</v>
      </c>
      <c r="G144" s="55">
        <f t="shared" si="64"/>
        <v>0</v>
      </c>
      <c r="H144" s="355">
        <f t="shared" si="65"/>
        <v>0</v>
      </c>
      <c r="I144" s="381">
        <f t="shared" si="66"/>
        <v>0</v>
      </c>
      <c r="J144" s="54">
        <f t="shared" si="38"/>
        <v>0</v>
      </c>
      <c r="K144" s="54"/>
      <c r="L144" s="115"/>
      <c r="M144" s="54">
        <f t="shared" si="68"/>
        <v>0</v>
      </c>
      <c r="N144" s="115"/>
      <c r="O144" s="54">
        <f t="shared" si="69"/>
        <v>0</v>
      </c>
      <c r="P144" s="54">
        <f t="shared" si="70"/>
        <v>0</v>
      </c>
    </row>
    <row r="145" spans="2:16">
      <c r="B145" s="7" t="str">
        <f t="shared" si="37"/>
        <v/>
      </c>
      <c r="C145" s="50">
        <f>IF(D93="","-",+C144+1)</f>
        <v>2060</v>
      </c>
      <c r="D145" s="12">
        <f>IF(F144+SUM(E$99:E144)=D$92,F144,D$92-SUM(E$99:E144))</f>
        <v>0</v>
      </c>
      <c r="E145" s="354">
        <f t="shared" si="62"/>
        <v>0</v>
      </c>
      <c r="F145" s="55">
        <f t="shared" si="63"/>
        <v>0</v>
      </c>
      <c r="G145" s="55">
        <f t="shared" si="64"/>
        <v>0</v>
      </c>
      <c r="H145" s="355">
        <f t="shared" si="65"/>
        <v>0</v>
      </c>
      <c r="I145" s="381">
        <f t="shared" si="66"/>
        <v>0</v>
      </c>
      <c r="J145" s="54">
        <f t="shared" si="38"/>
        <v>0</v>
      </c>
      <c r="K145" s="54"/>
      <c r="L145" s="115"/>
      <c r="M145" s="54">
        <f t="shared" si="68"/>
        <v>0</v>
      </c>
      <c r="N145" s="115"/>
      <c r="O145" s="54">
        <f t="shared" si="69"/>
        <v>0</v>
      </c>
      <c r="P145" s="54">
        <f t="shared" si="70"/>
        <v>0</v>
      </c>
    </row>
    <row r="146" spans="2:16">
      <c r="B146" s="7" t="str">
        <f t="shared" si="37"/>
        <v/>
      </c>
      <c r="C146" s="50">
        <f>IF(D93="","-",+C145+1)</f>
        <v>2061</v>
      </c>
      <c r="D146" s="12">
        <f>IF(F145+SUM(E$99:E145)=D$92,F145,D$92-SUM(E$99:E145))</f>
        <v>0</v>
      </c>
      <c r="E146" s="354">
        <f t="shared" si="62"/>
        <v>0</v>
      </c>
      <c r="F146" s="55">
        <f t="shared" si="63"/>
        <v>0</v>
      </c>
      <c r="G146" s="55">
        <f t="shared" si="64"/>
        <v>0</v>
      </c>
      <c r="H146" s="355">
        <f t="shared" si="65"/>
        <v>0</v>
      </c>
      <c r="I146" s="381">
        <f t="shared" si="66"/>
        <v>0</v>
      </c>
      <c r="J146" s="54">
        <f t="shared" si="38"/>
        <v>0</v>
      </c>
      <c r="K146" s="54"/>
      <c r="L146" s="115"/>
      <c r="M146" s="54">
        <f t="shared" si="68"/>
        <v>0</v>
      </c>
      <c r="N146" s="115"/>
      <c r="O146" s="54">
        <f t="shared" si="69"/>
        <v>0</v>
      </c>
      <c r="P146" s="54">
        <f t="shared" si="70"/>
        <v>0</v>
      </c>
    </row>
    <row r="147" spans="2:16">
      <c r="B147" s="7" t="str">
        <f t="shared" si="37"/>
        <v/>
      </c>
      <c r="C147" s="50">
        <f>IF(D93="","-",+C146+1)</f>
        <v>2062</v>
      </c>
      <c r="D147" s="12">
        <f>IF(F146+SUM(E$99:E146)=D$92,F146,D$92-SUM(E$99:E146))</f>
        <v>0</v>
      </c>
      <c r="E147" s="354">
        <f t="shared" si="62"/>
        <v>0</v>
      </c>
      <c r="F147" s="55">
        <f t="shared" si="63"/>
        <v>0</v>
      </c>
      <c r="G147" s="55">
        <f t="shared" si="64"/>
        <v>0</v>
      </c>
      <c r="H147" s="355">
        <f t="shared" si="65"/>
        <v>0</v>
      </c>
      <c r="I147" s="381">
        <f t="shared" si="66"/>
        <v>0</v>
      </c>
      <c r="J147" s="54">
        <f t="shared" si="38"/>
        <v>0</v>
      </c>
      <c r="K147" s="54"/>
      <c r="L147" s="115"/>
      <c r="M147" s="54">
        <f t="shared" si="68"/>
        <v>0</v>
      </c>
      <c r="N147" s="115"/>
      <c r="O147" s="54">
        <f t="shared" si="69"/>
        <v>0</v>
      </c>
      <c r="P147" s="54">
        <f t="shared" si="70"/>
        <v>0</v>
      </c>
    </row>
    <row r="148" spans="2:16">
      <c r="B148" s="7" t="str">
        <f t="shared" si="37"/>
        <v/>
      </c>
      <c r="C148" s="50">
        <f>IF(D93="","-",+C147+1)</f>
        <v>2063</v>
      </c>
      <c r="D148" s="12">
        <f>IF(F147+SUM(E$99:E147)=D$92,F147,D$92-SUM(E$99:E147))</f>
        <v>0</v>
      </c>
      <c r="E148" s="354">
        <f t="shared" si="62"/>
        <v>0</v>
      </c>
      <c r="F148" s="55">
        <f t="shared" si="63"/>
        <v>0</v>
      </c>
      <c r="G148" s="55">
        <f t="shared" si="64"/>
        <v>0</v>
      </c>
      <c r="H148" s="355">
        <f t="shared" si="65"/>
        <v>0</v>
      </c>
      <c r="I148" s="381">
        <f t="shared" si="66"/>
        <v>0</v>
      </c>
      <c r="J148" s="54">
        <f t="shared" si="38"/>
        <v>0</v>
      </c>
      <c r="K148" s="54"/>
      <c r="L148" s="115"/>
      <c r="M148" s="54">
        <f t="shared" si="68"/>
        <v>0</v>
      </c>
      <c r="N148" s="115"/>
      <c r="O148" s="54">
        <f t="shared" si="69"/>
        <v>0</v>
      </c>
      <c r="P148" s="54">
        <f t="shared" si="70"/>
        <v>0</v>
      </c>
    </row>
    <row r="149" spans="2:16">
      <c r="B149" s="7" t="str">
        <f t="shared" si="37"/>
        <v/>
      </c>
      <c r="C149" s="50">
        <f>IF(D93="","-",+C148+1)</f>
        <v>2064</v>
      </c>
      <c r="D149" s="12">
        <f>IF(F148+SUM(E$99:E148)=D$92,F148,D$92-SUM(E$99:E148))</f>
        <v>0</v>
      </c>
      <c r="E149" s="354">
        <f t="shared" si="62"/>
        <v>0</v>
      </c>
      <c r="F149" s="55">
        <f t="shared" si="63"/>
        <v>0</v>
      </c>
      <c r="G149" s="55">
        <f t="shared" si="64"/>
        <v>0</v>
      </c>
      <c r="H149" s="355">
        <f t="shared" si="65"/>
        <v>0</v>
      </c>
      <c r="I149" s="381">
        <f t="shared" si="66"/>
        <v>0</v>
      </c>
      <c r="J149" s="54">
        <f t="shared" si="38"/>
        <v>0</v>
      </c>
      <c r="K149" s="54"/>
      <c r="L149" s="115"/>
      <c r="M149" s="54">
        <f t="shared" si="68"/>
        <v>0</v>
      </c>
      <c r="N149" s="115"/>
      <c r="O149" s="54">
        <f t="shared" si="69"/>
        <v>0</v>
      </c>
      <c r="P149" s="54">
        <f t="shared" si="70"/>
        <v>0</v>
      </c>
    </row>
    <row r="150" spans="2:16">
      <c r="B150" s="7" t="str">
        <f t="shared" si="37"/>
        <v/>
      </c>
      <c r="C150" s="50">
        <f>IF(D93="","-",+C149+1)</f>
        <v>2065</v>
      </c>
      <c r="D150" s="12">
        <f>IF(F149+SUM(E$99:E149)=D$92,F149,D$92-SUM(E$99:E149))</f>
        <v>0</v>
      </c>
      <c r="E150" s="354">
        <f t="shared" si="62"/>
        <v>0</v>
      </c>
      <c r="F150" s="55">
        <f t="shared" si="63"/>
        <v>0</v>
      </c>
      <c r="G150" s="55">
        <f t="shared" si="64"/>
        <v>0</v>
      </c>
      <c r="H150" s="355">
        <f t="shared" si="65"/>
        <v>0</v>
      </c>
      <c r="I150" s="381">
        <f t="shared" si="66"/>
        <v>0</v>
      </c>
      <c r="J150" s="54">
        <f t="shared" si="38"/>
        <v>0</v>
      </c>
      <c r="K150" s="54"/>
      <c r="L150" s="115"/>
      <c r="M150" s="54">
        <f t="shared" si="68"/>
        <v>0</v>
      </c>
      <c r="N150" s="115"/>
      <c r="O150" s="54">
        <f t="shared" si="69"/>
        <v>0</v>
      </c>
      <c r="P150" s="54">
        <f t="shared" si="70"/>
        <v>0</v>
      </c>
    </row>
    <row r="151" spans="2:16">
      <c r="B151" s="7" t="str">
        <f t="shared" si="37"/>
        <v/>
      </c>
      <c r="C151" s="50">
        <f>IF(D93="","-",+C150+1)</f>
        <v>2066</v>
      </c>
      <c r="D151" s="12">
        <f>IF(F150+SUM(E$99:E150)=D$92,F150,D$92-SUM(E$99:E150))</f>
        <v>0</v>
      </c>
      <c r="E151" s="354">
        <f t="shared" si="62"/>
        <v>0</v>
      </c>
      <c r="F151" s="55">
        <f t="shared" si="63"/>
        <v>0</v>
      </c>
      <c r="G151" s="55">
        <f t="shared" si="64"/>
        <v>0</v>
      </c>
      <c r="H151" s="355">
        <f t="shared" si="65"/>
        <v>0</v>
      </c>
      <c r="I151" s="381">
        <f t="shared" si="66"/>
        <v>0</v>
      </c>
      <c r="J151" s="54">
        <f t="shared" si="38"/>
        <v>0</v>
      </c>
      <c r="K151" s="54"/>
      <c r="L151" s="115"/>
      <c r="M151" s="54">
        <f t="shared" si="68"/>
        <v>0</v>
      </c>
      <c r="N151" s="115"/>
      <c r="O151" s="54">
        <f t="shared" si="69"/>
        <v>0</v>
      </c>
      <c r="P151" s="54">
        <f t="shared" si="70"/>
        <v>0</v>
      </c>
    </row>
    <row r="152" spans="2:16">
      <c r="B152" s="7" t="str">
        <f t="shared" si="37"/>
        <v/>
      </c>
      <c r="C152" s="50">
        <f>IF(D93="","-",+C151+1)</f>
        <v>2067</v>
      </c>
      <c r="D152" s="12">
        <f>IF(F151+SUM(E$99:E151)=D$92,F151,D$92-SUM(E$99:E151))</f>
        <v>0</v>
      </c>
      <c r="E152" s="354">
        <f t="shared" si="62"/>
        <v>0</v>
      </c>
      <c r="F152" s="55">
        <f t="shared" si="63"/>
        <v>0</v>
      </c>
      <c r="G152" s="55">
        <f t="shared" si="64"/>
        <v>0</v>
      </c>
      <c r="H152" s="355">
        <f t="shared" si="65"/>
        <v>0</v>
      </c>
      <c r="I152" s="381">
        <f t="shared" si="66"/>
        <v>0</v>
      </c>
      <c r="J152" s="54">
        <f t="shared" si="38"/>
        <v>0</v>
      </c>
      <c r="K152" s="54"/>
      <c r="L152" s="115"/>
      <c r="M152" s="54">
        <f t="shared" si="68"/>
        <v>0</v>
      </c>
      <c r="N152" s="115"/>
      <c r="O152" s="54">
        <f t="shared" si="69"/>
        <v>0</v>
      </c>
      <c r="P152" s="54">
        <f t="shared" si="70"/>
        <v>0</v>
      </c>
    </row>
    <row r="153" spans="2:16">
      <c r="B153" s="7" t="str">
        <f t="shared" si="37"/>
        <v/>
      </c>
      <c r="C153" s="50">
        <f>IF(D93="","-",+C152+1)</f>
        <v>2068</v>
      </c>
      <c r="D153" s="12">
        <f>IF(F152+SUM(E$99:E152)=D$92,F152,D$92-SUM(E$99:E152))</f>
        <v>0</v>
      </c>
      <c r="E153" s="354">
        <f t="shared" si="62"/>
        <v>0</v>
      </c>
      <c r="F153" s="55">
        <f t="shared" si="63"/>
        <v>0</v>
      </c>
      <c r="G153" s="55">
        <f t="shared" si="64"/>
        <v>0</v>
      </c>
      <c r="H153" s="355">
        <f t="shared" si="65"/>
        <v>0</v>
      </c>
      <c r="I153" s="381">
        <f t="shared" si="66"/>
        <v>0</v>
      </c>
      <c r="J153" s="54">
        <f t="shared" si="38"/>
        <v>0</v>
      </c>
      <c r="K153" s="54"/>
      <c r="L153" s="115"/>
      <c r="M153" s="54">
        <f t="shared" si="68"/>
        <v>0</v>
      </c>
      <c r="N153" s="115"/>
      <c r="O153" s="54">
        <f t="shared" si="69"/>
        <v>0</v>
      </c>
      <c r="P153" s="54">
        <f t="shared" si="70"/>
        <v>0</v>
      </c>
    </row>
    <row r="154" spans="2:16" ht="13.5" thickBot="1">
      <c r="B154" s="7" t="str">
        <f t="shared" si="37"/>
        <v/>
      </c>
      <c r="C154" s="58">
        <f>IF(D93="","-",+C153+1)</f>
        <v>2069</v>
      </c>
      <c r="D154" s="403">
        <f>IF(F153+SUM(E$99:E153)=D$92,F153,D$92-SUM(E$99:E153))</f>
        <v>0</v>
      </c>
      <c r="E154" s="357">
        <f t="shared" si="62"/>
        <v>0</v>
      </c>
      <c r="F154" s="59">
        <f t="shared" si="63"/>
        <v>0</v>
      </c>
      <c r="G154" s="59">
        <f t="shared" si="64"/>
        <v>0</v>
      </c>
      <c r="H154" s="358">
        <f t="shared" ref="H154" si="71">+J$94*G154+E154</f>
        <v>0</v>
      </c>
      <c r="I154" s="383">
        <f t="shared" ref="I154" si="72">+J$95*G154+E154</f>
        <v>0</v>
      </c>
      <c r="J154" s="62">
        <f t="shared" si="38"/>
        <v>0</v>
      </c>
      <c r="K154" s="54"/>
      <c r="L154" s="116"/>
      <c r="M154" s="62">
        <f t="shared" si="68"/>
        <v>0</v>
      </c>
      <c r="N154" s="116"/>
      <c r="O154" s="62">
        <f t="shared" si="69"/>
        <v>0</v>
      </c>
      <c r="P154" s="62">
        <f t="shared" si="70"/>
        <v>0</v>
      </c>
    </row>
    <row r="155" spans="2:16">
      <c r="C155" s="12" t="s">
        <v>77</v>
      </c>
      <c r="D155" s="266"/>
      <c r="E155" s="266">
        <f>SUM(E99:E154)</f>
        <v>1725647</v>
      </c>
      <c r="F155" s="266"/>
      <c r="G155" s="266"/>
      <c r="H155" s="266">
        <f>SUM(H99:H154)</f>
        <v>5765060.6376970196</v>
      </c>
      <c r="I155" s="266">
        <f>SUM(I99:I154)</f>
        <v>5765060.6376970196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9" priority="1" stopIfTrue="1" operator="equal">
      <formula>$I$10</formula>
    </cfRule>
  </conditionalFormatting>
  <conditionalFormatting sqref="C99:C154">
    <cfRule type="cellIs" dxfId="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P162"/>
  <sheetViews>
    <sheetView topLeftCell="A80" zoomScaleNormal="100" zoomScaleSheetLayoutView="78" workbookViewId="0">
      <selection activeCell="E95" sqref="E95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19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157003.1312434093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157003.1312434093</v>
      </c>
      <c r="O6" s="1"/>
      <c r="P6" s="1"/>
    </row>
    <row r="7" spans="1:16" ht="13.5" thickBot="1">
      <c r="C7" s="26" t="s">
        <v>46</v>
      </c>
      <c r="D7" s="88" t="s">
        <v>276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291</v>
      </c>
      <c r="E9" s="404" t="s">
        <v>292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1338977.9100000004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3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35236.260789473694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2017</v>
      </c>
      <c r="D17" s="411">
        <v>0</v>
      </c>
      <c r="E17" s="432">
        <v>21831.16304347826</v>
      </c>
      <c r="F17" s="411">
        <v>1317146.8369565217</v>
      </c>
      <c r="G17" s="432">
        <v>105641.6474528401</v>
      </c>
      <c r="H17" s="414">
        <v>105641.6474528401</v>
      </c>
      <c r="I17" s="52">
        <f t="shared" ref="I17:I72" si="0">H17-G17</f>
        <v>0</v>
      </c>
      <c r="J17" s="52"/>
      <c r="K17" s="53">
        <f t="shared" ref="K17:K22" si="1">+G17</f>
        <v>105641.6474528401</v>
      </c>
      <c r="L17" s="53">
        <f t="shared" ref="L17:L72" si="2">IF(K17&lt;&gt;0,+G17-K17,0)</f>
        <v>0</v>
      </c>
      <c r="M17" s="53">
        <f t="shared" ref="M17:M22" si="3">+H17</f>
        <v>105641.6474528401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2018</v>
      </c>
      <c r="D18" s="411">
        <v>1317146.8369565217</v>
      </c>
      <c r="E18" s="412">
        <v>29755.066666666666</v>
      </c>
      <c r="F18" s="411">
        <v>1287391.7702898551</v>
      </c>
      <c r="G18" s="412">
        <v>185713.45898482588</v>
      </c>
      <c r="H18" s="414">
        <v>185713.45898482588</v>
      </c>
      <c r="I18" s="52">
        <f t="shared" si="0"/>
        <v>0</v>
      </c>
      <c r="J18" s="52"/>
      <c r="K18" s="54">
        <f t="shared" si="1"/>
        <v>185713.45898482588</v>
      </c>
      <c r="L18" s="54">
        <f t="shared" si="2"/>
        <v>0</v>
      </c>
      <c r="M18" s="54">
        <f t="shared" si="3"/>
        <v>185713.45898482588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/>
      </c>
      <c r="C19" s="50">
        <f>IF(D11="","-",+C18+1)</f>
        <v>2019</v>
      </c>
      <c r="D19" s="411">
        <v>1287391.7702898551</v>
      </c>
      <c r="E19" s="412">
        <v>33474.449999999997</v>
      </c>
      <c r="F19" s="411">
        <v>1253917.3202898551</v>
      </c>
      <c r="G19" s="412">
        <v>175351.45606998727</v>
      </c>
      <c r="H19" s="414">
        <v>175351.45606998727</v>
      </c>
      <c r="I19" s="52">
        <f t="shared" si="0"/>
        <v>0</v>
      </c>
      <c r="J19" s="52"/>
      <c r="K19" s="54">
        <f t="shared" si="1"/>
        <v>175351.45606998727</v>
      </c>
      <c r="L19" s="54">
        <f t="shared" ref="L19" si="6">IF(K19&lt;&gt;0,+G19-K19,0)</f>
        <v>0</v>
      </c>
      <c r="M19" s="54">
        <f t="shared" si="3"/>
        <v>175351.45606998727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2020</v>
      </c>
      <c r="D20" s="411">
        <v>1257636.7036231884</v>
      </c>
      <c r="E20" s="412">
        <v>31880.428571428572</v>
      </c>
      <c r="F20" s="411">
        <v>1225756.2750517598</v>
      </c>
      <c r="G20" s="412">
        <v>165989.58089219453</v>
      </c>
      <c r="H20" s="414">
        <v>165989.58089219453</v>
      </c>
      <c r="I20" s="52">
        <f t="shared" si="0"/>
        <v>0</v>
      </c>
      <c r="J20" s="52"/>
      <c r="K20" s="54">
        <f t="shared" si="1"/>
        <v>165989.58089219453</v>
      </c>
      <c r="L20" s="54">
        <f t="shared" ref="L20" si="8">IF(K20&lt;&gt;0,+G20-K20,0)</f>
        <v>0</v>
      </c>
      <c r="M20" s="54">
        <f t="shared" si="3"/>
        <v>165989.58089219453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2021</v>
      </c>
      <c r="D21" s="411">
        <v>1222036.8917184265</v>
      </c>
      <c r="E21" s="412">
        <v>31139.023255813954</v>
      </c>
      <c r="F21" s="411">
        <v>1190897.8684626126</v>
      </c>
      <c r="G21" s="412">
        <v>161222.32913848371</v>
      </c>
      <c r="H21" s="414">
        <v>161222.32913848371</v>
      </c>
      <c r="I21" s="52">
        <f t="shared" si="0"/>
        <v>0</v>
      </c>
      <c r="J21" s="52"/>
      <c r="K21" s="54">
        <f t="shared" si="1"/>
        <v>161222.32913848371</v>
      </c>
      <c r="L21" s="54">
        <f t="shared" ref="L21" si="9">IF(K21&lt;&gt;0,+G21-K21,0)</f>
        <v>0</v>
      </c>
      <c r="M21" s="54">
        <f t="shared" si="3"/>
        <v>161222.32913848371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/>
      </c>
      <c r="C22" s="50">
        <f>IF(D11="","-",+C21+1)</f>
        <v>2022</v>
      </c>
      <c r="D22" s="411">
        <v>1190897.8684626126</v>
      </c>
      <c r="E22" s="412">
        <v>31880.428571428572</v>
      </c>
      <c r="F22" s="411">
        <v>1159017.439891184</v>
      </c>
      <c r="G22" s="412">
        <v>158554.07703900614</v>
      </c>
      <c r="H22" s="414">
        <v>158554.07703900614</v>
      </c>
      <c r="I22" s="52">
        <f t="shared" si="0"/>
        <v>0</v>
      </c>
      <c r="J22" s="52"/>
      <c r="K22" s="54">
        <f t="shared" si="1"/>
        <v>158554.07703900614</v>
      </c>
      <c r="L22" s="54">
        <f t="shared" ref="L22" si="10">IF(K22&lt;&gt;0,+G22-K22,0)</f>
        <v>0</v>
      </c>
      <c r="M22" s="54">
        <f t="shared" si="3"/>
        <v>158554.07703900614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2023</v>
      </c>
      <c r="D23" s="411">
        <v>1159017.3498911844</v>
      </c>
      <c r="E23" s="412">
        <v>34332.766923076932</v>
      </c>
      <c r="F23" s="411">
        <v>1124684.5829681074</v>
      </c>
      <c r="G23" s="412">
        <v>170622.90008256794</v>
      </c>
      <c r="H23" s="414">
        <v>170622.90008256794</v>
      </c>
      <c r="I23" s="52">
        <f t="shared" si="0"/>
        <v>0</v>
      </c>
      <c r="J23" s="52"/>
      <c r="K23" s="54">
        <f t="shared" ref="K23" si="11">+G23</f>
        <v>170622.90008256794</v>
      </c>
      <c r="L23" s="54">
        <f t="shared" ref="L23" si="12">IF(K23&lt;&gt;0,+G23-K23,0)</f>
        <v>0</v>
      </c>
      <c r="M23" s="54">
        <f t="shared" ref="M23" si="13">+H23</f>
        <v>170622.90008256794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/>
      </c>
      <c r="C24" s="50">
        <f>IF(D11="","-",+C23+1)</f>
        <v>2024</v>
      </c>
      <c r="D24" s="411">
        <v>1124684.5829681074</v>
      </c>
      <c r="E24" s="412">
        <v>35236.260789473694</v>
      </c>
      <c r="F24" s="411">
        <v>1089448.3221786337</v>
      </c>
      <c r="G24" s="412">
        <v>161154.20676823906</v>
      </c>
      <c r="H24" s="414">
        <v>161154.20676823906</v>
      </c>
      <c r="I24" s="52">
        <f t="shared" si="0"/>
        <v>0</v>
      </c>
      <c r="J24" s="52"/>
      <c r="K24" s="54">
        <f t="shared" ref="K24" si="14">+G24</f>
        <v>161154.20676823906</v>
      </c>
      <c r="L24" s="54">
        <f t="shared" ref="L24" si="15">IF(K24&lt;&gt;0,+G24-K24,0)</f>
        <v>0</v>
      </c>
      <c r="M24" s="54">
        <f t="shared" ref="M24" si="16">+H24</f>
        <v>161154.20676823906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>
      <c r="B25" s="7" t="str">
        <f t="shared" si="7"/>
        <v/>
      </c>
      <c r="C25" s="50">
        <f>IF(D11="","-",+C24+1)</f>
        <v>2025</v>
      </c>
      <c r="D25" s="411">
        <v>1089448.3221786337</v>
      </c>
      <c r="E25" s="412">
        <v>35236.260789473694</v>
      </c>
      <c r="F25" s="411">
        <v>1054212.0613891599</v>
      </c>
      <c r="G25" s="412">
        <v>157003.1312434093</v>
      </c>
      <c r="H25" s="414">
        <v>157003.1312434093</v>
      </c>
      <c r="I25" s="52">
        <f t="shared" si="0"/>
        <v>0</v>
      </c>
      <c r="J25" s="52"/>
      <c r="K25" s="54">
        <f t="shared" ref="K25" si="19">+G25</f>
        <v>157003.1312434093</v>
      </c>
      <c r="L25" s="54">
        <f t="shared" ref="L25" si="20">IF(K25&lt;&gt;0,+G25-K25,0)</f>
        <v>0</v>
      </c>
      <c r="M25" s="54">
        <f t="shared" ref="M25" si="21">+H25</f>
        <v>157003.1312434093</v>
      </c>
      <c r="N25" s="54">
        <f t="shared" ref="N25" si="22">IF(M25&lt;&gt;0,+H25-M25,0)</f>
        <v>0</v>
      </c>
      <c r="O25" s="54">
        <f t="shared" ref="O25" si="23">+N25-L25</f>
        <v>0</v>
      </c>
      <c r="P25" s="1"/>
    </row>
    <row r="26" spans="2:16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1054212.0613891599</v>
      </c>
      <c r="E26" s="354">
        <f t="shared" ref="E26:E72" si="24">IF(+I$14&lt;F25,I$14,D26)</f>
        <v>35236.260789473694</v>
      </c>
      <c r="F26" s="55">
        <f t="shared" ref="F26:F72" si="25">+D26-E26</f>
        <v>1018975.8005996862</v>
      </c>
      <c r="G26" s="355">
        <f t="shared" ref="G26:G72" si="26">(D26+F26)/2*I$12+E26</f>
        <v>153000.06318680619</v>
      </c>
      <c r="H26" s="336">
        <f t="shared" ref="H26:H72" si="27">+(D26+F26)/2*I$13+E26</f>
        <v>153000.06318680619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1018975.8005996862</v>
      </c>
      <c r="E27" s="354">
        <f t="shared" si="24"/>
        <v>35236.260789473694</v>
      </c>
      <c r="F27" s="55">
        <f t="shared" si="25"/>
        <v>983739.53981021256</v>
      </c>
      <c r="G27" s="355">
        <f t="shared" si="26"/>
        <v>148996.99513020302</v>
      </c>
      <c r="H27" s="336">
        <f t="shared" si="27"/>
        <v>148996.99513020302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983739.53981021256</v>
      </c>
      <c r="E28" s="354">
        <f t="shared" si="24"/>
        <v>35236.260789473694</v>
      </c>
      <c r="F28" s="55">
        <f t="shared" si="25"/>
        <v>948503.2790207389</v>
      </c>
      <c r="G28" s="355">
        <f t="shared" si="26"/>
        <v>144993.92707359992</v>
      </c>
      <c r="H28" s="336">
        <f t="shared" si="27"/>
        <v>144993.92707359992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948503.2790207389</v>
      </c>
      <c r="E29" s="354">
        <f t="shared" si="24"/>
        <v>35236.260789473694</v>
      </c>
      <c r="F29" s="55">
        <f t="shared" si="25"/>
        <v>913267.01823126525</v>
      </c>
      <c r="G29" s="355">
        <f t="shared" si="26"/>
        <v>140990.85901699675</v>
      </c>
      <c r="H29" s="336">
        <f t="shared" si="27"/>
        <v>140990.85901699675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913267.01823126525</v>
      </c>
      <c r="E30" s="354">
        <f t="shared" si="24"/>
        <v>35236.260789473694</v>
      </c>
      <c r="F30" s="55">
        <f t="shared" si="25"/>
        <v>878030.75744179159</v>
      </c>
      <c r="G30" s="355">
        <f t="shared" si="26"/>
        <v>136987.79096039364</v>
      </c>
      <c r="H30" s="336">
        <f t="shared" si="27"/>
        <v>136987.79096039364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878030.75744179159</v>
      </c>
      <c r="E31" s="354">
        <f t="shared" si="24"/>
        <v>35236.260789473694</v>
      </c>
      <c r="F31" s="55">
        <f t="shared" si="25"/>
        <v>842794.49665231793</v>
      </c>
      <c r="G31" s="355">
        <f t="shared" si="26"/>
        <v>132984.72290379048</v>
      </c>
      <c r="H31" s="336">
        <f t="shared" si="27"/>
        <v>132984.72290379048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842794.49665231793</v>
      </c>
      <c r="E32" s="354">
        <f t="shared" si="24"/>
        <v>35236.260789473694</v>
      </c>
      <c r="F32" s="55">
        <f t="shared" si="25"/>
        <v>807558.23586284427</v>
      </c>
      <c r="G32" s="355">
        <f t="shared" si="26"/>
        <v>128981.65484718737</v>
      </c>
      <c r="H32" s="336">
        <f t="shared" si="27"/>
        <v>128981.65484718737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807558.23586284427</v>
      </c>
      <c r="E33" s="354">
        <f t="shared" si="24"/>
        <v>35236.260789473694</v>
      </c>
      <c r="F33" s="55">
        <f t="shared" si="25"/>
        <v>772321.97507337062</v>
      </c>
      <c r="G33" s="355">
        <f t="shared" si="26"/>
        <v>124978.5867905842</v>
      </c>
      <c r="H33" s="336">
        <f t="shared" si="27"/>
        <v>124978.5867905842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772321.97507337062</v>
      </c>
      <c r="E34" s="354">
        <f t="shared" si="24"/>
        <v>35236.260789473694</v>
      </c>
      <c r="F34" s="55">
        <f t="shared" si="25"/>
        <v>737085.71428389696</v>
      </c>
      <c r="G34" s="355">
        <f t="shared" si="26"/>
        <v>120975.51873398109</v>
      </c>
      <c r="H34" s="336">
        <f t="shared" si="27"/>
        <v>120975.51873398109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737085.71428389696</v>
      </c>
      <c r="E35" s="354">
        <f t="shared" si="24"/>
        <v>35236.260789473694</v>
      </c>
      <c r="F35" s="55">
        <f t="shared" si="25"/>
        <v>701849.4534944233</v>
      </c>
      <c r="G35" s="355">
        <f t="shared" si="26"/>
        <v>116972.45067737793</v>
      </c>
      <c r="H35" s="336">
        <f t="shared" si="27"/>
        <v>116972.45067737793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701849.4534944233</v>
      </c>
      <c r="E36" s="354">
        <f t="shared" si="24"/>
        <v>35236.260789473694</v>
      </c>
      <c r="F36" s="55">
        <f t="shared" si="25"/>
        <v>666613.19270494964</v>
      </c>
      <c r="G36" s="355">
        <f t="shared" si="26"/>
        <v>112969.38262077482</v>
      </c>
      <c r="H36" s="336">
        <f t="shared" si="27"/>
        <v>112969.38262077482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666613.19270494964</v>
      </c>
      <c r="E37" s="354">
        <f t="shared" si="24"/>
        <v>35236.260789473694</v>
      </c>
      <c r="F37" s="55">
        <f t="shared" si="25"/>
        <v>631376.93191547599</v>
      </c>
      <c r="G37" s="355">
        <f t="shared" si="26"/>
        <v>108966.31456417168</v>
      </c>
      <c r="H37" s="336">
        <f t="shared" si="27"/>
        <v>108966.31456417168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631376.93191547599</v>
      </c>
      <c r="E38" s="354">
        <f t="shared" si="24"/>
        <v>35236.260789473694</v>
      </c>
      <c r="F38" s="55">
        <f t="shared" si="25"/>
        <v>596140.67112600233</v>
      </c>
      <c r="G38" s="355">
        <f t="shared" si="26"/>
        <v>104963.24650756855</v>
      </c>
      <c r="H38" s="336">
        <f t="shared" si="27"/>
        <v>104963.24650756855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596140.67112600233</v>
      </c>
      <c r="E39" s="354">
        <f t="shared" si="24"/>
        <v>35236.260789473694</v>
      </c>
      <c r="F39" s="55">
        <f t="shared" si="25"/>
        <v>560904.41033652867</v>
      </c>
      <c r="G39" s="355">
        <f t="shared" si="26"/>
        <v>100960.17845096541</v>
      </c>
      <c r="H39" s="336">
        <f t="shared" si="27"/>
        <v>100960.17845096541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560904.41033652867</v>
      </c>
      <c r="E40" s="354">
        <f t="shared" si="24"/>
        <v>35236.260789473694</v>
      </c>
      <c r="F40" s="55">
        <f t="shared" si="25"/>
        <v>525668.14954705501</v>
      </c>
      <c r="G40" s="355">
        <f t="shared" si="26"/>
        <v>96957.110394362273</v>
      </c>
      <c r="H40" s="336">
        <f t="shared" si="27"/>
        <v>96957.110394362273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525668.14954705501</v>
      </c>
      <c r="E41" s="354">
        <f t="shared" si="24"/>
        <v>35236.260789473694</v>
      </c>
      <c r="F41" s="55">
        <f t="shared" si="25"/>
        <v>490431.8887575813</v>
      </c>
      <c r="G41" s="355">
        <f t="shared" si="26"/>
        <v>92954.042337759136</v>
      </c>
      <c r="H41" s="336">
        <f t="shared" si="27"/>
        <v>92954.042337759136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490431.8887575813</v>
      </c>
      <c r="E42" s="354">
        <f t="shared" si="24"/>
        <v>35236.260789473694</v>
      </c>
      <c r="F42" s="55">
        <f t="shared" si="25"/>
        <v>455195.62796810758</v>
      </c>
      <c r="G42" s="355">
        <f t="shared" si="26"/>
        <v>88950.974281155999</v>
      </c>
      <c r="H42" s="336">
        <f t="shared" si="27"/>
        <v>88950.974281155999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455195.62796810758</v>
      </c>
      <c r="E43" s="354">
        <f t="shared" si="24"/>
        <v>35236.260789473694</v>
      </c>
      <c r="F43" s="55">
        <f t="shared" si="25"/>
        <v>419959.36717863387</v>
      </c>
      <c r="G43" s="355">
        <f t="shared" si="26"/>
        <v>84947.906224552833</v>
      </c>
      <c r="H43" s="336">
        <f t="shared" si="27"/>
        <v>84947.906224552833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419959.36717863387</v>
      </c>
      <c r="E44" s="354">
        <f t="shared" si="24"/>
        <v>35236.260789473694</v>
      </c>
      <c r="F44" s="55">
        <f t="shared" si="25"/>
        <v>384723.10638916015</v>
      </c>
      <c r="G44" s="355">
        <f t="shared" si="26"/>
        <v>80944.838167949696</v>
      </c>
      <c r="H44" s="336">
        <f t="shared" si="27"/>
        <v>80944.838167949696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384723.10638916015</v>
      </c>
      <c r="E45" s="354">
        <f t="shared" si="24"/>
        <v>35236.260789473694</v>
      </c>
      <c r="F45" s="55">
        <f t="shared" si="25"/>
        <v>349486.84559968644</v>
      </c>
      <c r="G45" s="355">
        <f t="shared" si="26"/>
        <v>76941.770111346559</v>
      </c>
      <c r="H45" s="336">
        <f t="shared" si="27"/>
        <v>76941.770111346559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349486.84559968644</v>
      </c>
      <c r="E46" s="354">
        <f t="shared" si="24"/>
        <v>35236.260789473694</v>
      </c>
      <c r="F46" s="55">
        <f t="shared" si="25"/>
        <v>314250.58481021272</v>
      </c>
      <c r="G46" s="355">
        <f t="shared" si="26"/>
        <v>72938.702054743422</v>
      </c>
      <c r="H46" s="336">
        <f t="shared" si="27"/>
        <v>72938.702054743422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314250.58481021272</v>
      </c>
      <c r="E47" s="354">
        <f t="shared" si="24"/>
        <v>35236.260789473694</v>
      </c>
      <c r="F47" s="55">
        <f t="shared" si="25"/>
        <v>279014.324020739</v>
      </c>
      <c r="G47" s="355">
        <f t="shared" si="26"/>
        <v>68935.633998140271</v>
      </c>
      <c r="H47" s="336">
        <f t="shared" si="27"/>
        <v>68935.633998140271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279014.324020739</v>
      </c>
      <c r="E48" s="354">
        <f t="shared" si="24"/>
        <v>35236.260789473694</v>
      </c>
      <c r="F48" s="55">
        <f t="shared" si="25"/>
        <v>243778.06323126532</v>
      </c>
      <c r="G48" s="355">
        <f t="shared" si="26"/>
        <v>64932.565941537134</v>
      </c>
      <c r="H48" s="336">
        <f t="shared" si="27"/>
        <v>64932.565941537134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243778.06323126532</v>
      </c>
      <c r="E49" s="354">
        <f t="shared" si="24"/>
        <v>35236.260789473694</v>
      </c>
      <c r="F49" s="55">
        <f t="shared" si="25"/>
        <v>208541.80244179163</v>
      </c>
      <c r="G49" s="355">
        <f t="shared" si="26"/>
        <v>60929.497884933997</v>
      </c>
      <c r="H49" s="336">
        <f t="shared" si="27"/>
        <v>60929.497884933997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208541.80244179163</v>
      </c>
      <c r="E50" s="354">
        <f t="shared" si="24"/>
        <v>35236.260789473694</v>
      </c>
      <c r="F50" s="55">
        <f t="shared" si="25"/>
        <v>173305.54165231794</v>
      </c>
      <c r="G50" s="355">
        <f t="shared" si="26"/>
        <v>56926.42982833086</v>
      </c>
      <c r="H50" s="336">
        <f t="shared" si="27"/>
        <v>56926.42982833086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173305.54165231794</v>
      </c>
      <c r="E51" s="354">
        <f t="shared" si="24"/>
        <v>35236.260789473694</v>
      </c>
      <c r="F51" s="55">
        <f t="shared" si="25"/>
        <v>138069.28086284426</v>
      </c>
      <c r="G51" s="355">
        <f t="shared" si="26"/>
        <v>52923.361771727708</v>
      </c>
      <c r="H51" s="336">
        <f t="shared" si="27"/>
        <v>52923.361771727708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138069.28086284426</v>
      </c>
      <c r="E52" s="354">
        <f t="shared" si="24"/>
        <v>35236.260789473694</v>
      </c>
      <c r="F52" s="55">
        <f t="shared" si="25"/>
        <v>102833.02007337057</v>
      </c>
      <c r="G52" s="355">
        <f t="shared" si="26"/>
        <v>48920.293715124571</v>
      </c>
      <c r="H52" s="336">
        <f t="shared" si="27"/>
        <v>48920.293715124571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102833.02007337057</v>
      </c>
      <c r="E53" s="354">
        <f t="shared" si="24"/>
        <v>35236.260789473694</v>
      </c>
      <c r="F53" s="55">
        <f t="shared" si="25"/>
        <v>67596.759283896885</v>
      </c>
      <c r="G53" s="355">
        <f t="shared" si="26"/>
        <v>44917.225658521435</v>
      </c>
      <c r="H53" s="336">
        <f t="shared" si="27"/>
        <v>44917.225658521435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67596.759283896885</v>
      </c>
      <c r="E54" s="354">
        <f t="shared" si="24"/>
        <v>35236.260789473694</v>
      </c>
      <c r="F54" s="55">
        <f t="shared" si="25"/>
        <v>32360.498494423191</v>
      </c>
      <c r="G54" s="355">
        <f t="shared" si="26"/>
        <v>40914.157601918298</v>
      </c>
      <c r="H54" s="336">
        <f t="shared" si="27"/>
        <v>40914.157601918298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32360.498494423191</v>
      </c>
      <c r="E55" s="354">
        <f t="shared" si="24"/>
        <v>32360.498494423191</v>
      </c>
      <c r="F55" s="55">
        <f t="shared" si="25"/>
        <v>0</v>
      </c>
      <c r="G55" s="355">
        <f t="shared" si="26"/>
        <v>34198.679886494705</v>
      </c>
      <c r="H55" s="336">
        <f t="shared" si="27"/>
        <v>34198.679886494705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0</v>
      </c>
      <c r="E56" s="354">
        <f t="shared" si="24"/>
        <v>0</v>
      </c>
      <c r="F56" s="55">
        <f t="shared" si="25"/>
        <v>0</v>
      </c>
      <c r="G56" s="355">
        <f t="shared" si="26"/>
        <v>0</v>
      </c>
      <c r="H56" s="336">
        <f t="shared" si="27"/>
        <v>0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0</v>
      </c>
      <c r="E57" s="354">
        <f t="shared" si="24"/>
        <v>0</v>
      </c>
      <c r="F57" s="55">
        <f t="shared" si="25"/>
        <v>0</v>
      </c>
      <c r="G57" s="355">
        <f t="shared" si="26"/>
        <v>0</v>
      </c>
      <c r="H57" s="336">
        <f t="shared" si="27"/>
        <v>0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0</v>
      </c>
      <c r="E58" s="354">
        <f t="shared" si="24"/>
        <v>0</v>
      </c>
      <c r="F58" s="55">
        <f t="shared" si="25"/>
        <v>0</v>
      </c>
      <c r="G58" s="355">
        <f t="shared" si="26"/>
        <v>0</v>
      </c>
      <c r="H58" s="336">
        <f t="shared" si="27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54">
        <f t="shared" si="24"/>
        <v>0</v>
      </c>
      <c r="F59" s="55">
        <f t="shared" si="25"/>
        <v>0</v>
      </c>
      <c r="G59" s="355">
        <f t="shared" si="26"/>
        <v>0</v>
      </c>
      <c r="H59" s="336">
        <f t="shared" si="27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54">
        <f t="shared" si="24"/>
        <v>0</v>
      </c>
      <c r="F60" s="55">
        <f t="shared" si="25"/>
        <v>0</v>
      </c>
      <c r="G60" s="355">
        <f t="shared" si="26"/>
        <v>0</v>
      </c>
      <c r="H60" s="336">
        <f t="shared" si="27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54">
        <f t="shared" si="24"/>
        <v>0</v>
      </c>
      <c r="F61" s="55">
        <f t="shared" si="25"/>
        <v>0</v>
      </c>
      <c r="G61" s="355">
        <f t="shared" si="26"/>
        <v>0</v>
      </c>
      <c r="H61" s="336">
        <f t="shared" si="27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54">
        <f t="shared" si="24"/>
        <v>0</v>
      </c>
      <c r="F62" s="55">
        <f t="shared" si="25"/>
        <v>0</v>
      </c>
      <c r="G62" s="355">
        <f t="shared" si="26"/>
        <v>0</v>
      </c>
      <c r="H62" s="336">
        <f t="shared" si="27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54">
        <f t="shared" si="24"/>
        <v>0</v>
      </c>
      <c r="F63" s="55">
        <f t="shared" si="25"/>
        <v>0</v>
      </c>
      <c r="G63" s="355">
        <f t="shared" si="26"/>
        <v>0</v>
      </c>
      <c r="H63" s="336">
        <f t="shared" si="27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54">
        <f t="shared" si="24"/>
        <v>0</v>
      </c>
      <c r="F64" s="55">
        <f t="shared" si="25"/>
        <v>0</v>
      </c>
      <c r="G64" s="355">
        <f t="shared" si="26"/>
        <v>0</v>
      </c>
      <c r="H64" s="336">
        <f t="shared" si="27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54">
        <f t="shared" si="24"/>
        <v>0</v>
      </c>
      <c r="F65" s="55">
        <f t="shared" si="25"/>
        <v>0</v>
      </c>
      <c r="G65" s="355">
        <f t="shared" si="26"/>
        <v>0</v>
      </c>
      <c r="H65" s="336">
        <f t="shared" si="27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54">
        <f t="shared" si="24"/>
        <v>0</v>
      </c>
      <c r="F66" s="55">
        <f t="shared" si="25"/>
        <v>0</v>
      </c>
      <c r="G66" s="355">
        <f t="shared" si="26"/>
        <v>0</v>
      </c>
      <c r="H66" s="336">
        <f t="shared" si="27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54">
        <f t="shared" si="24"/>
        <v>0</v>
      </c>
      <c r="F67" s="55">
        <f t="shared" si="25"/>
        <v>0</v>
      </c>
      <c r="G67" s="355">
        <f t="shared" si="26"/>
        <v>0</v>
      </c>
      <c r="H67" s="336">
        <f t="shared" si="27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54">
        <f t="shared" si="24"/>
        <v>0</v>
      </c>
      <c r="F68" s="55">
        <f t="shared" si="25"/>
        <v>0</v>
      </c>
      <c r="G68" s="355">
        <f t="shared" si="26"/>
        <v>0</v>
      </c>
      <c r="H68" s="336">
        <f t="shared" si="27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54">
        <f t="shared" si="24"/>
        <v>0</v>
      </c>
      <c r="F69" s="55">
        <f t="shared" si="25"/>
        <v>0</v>
      </c>
      <c r="G69" s="355">
        <f t="shared" si="26"/>
        <v>0</v>
      </c>
      <c r="H69" s="336">
        <f t="shared" si="27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54">
        <f t="shared" si="24"/>
        <v>0</v>
      </c>
      <c r="F70" s="55">
        <f t="shared" si="25"/>
        <v>0</v>
      </c>
      <c r="G70" s="355">
        <f t="shared" si="26"/>
        <v>0</v>
      </c>
      <c r="H70" s="336">
        <f t="shared" si="27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54">
        <f t="shared" si="24"/>
        <v>0</v>
      </c>
      <c r="F71" s="55">
        <f t="shared" si="25"/>
        <v>0</v>
      </c>
      <c r="G71" s="355">
        <f t="shared" si="26"/>
        <v>0</v>
      </c>
      <c r="H71" s="336">
        <f t="shared" si="27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8">
        <f>IF(D11="","-",+C71+1)</f>
        <v>2072</v>
      </c>
      <c r="D72" s="59">
        <f>IF(F71+SUM(E$17:E71)=D$10,F71,D$10-SUM(E$17:E71))</f>
        <v>0</v>
      </c>
      <c r="E72" s="357">
        <f t="shared" si="24"/>
        <v>0</v>
      </c>
      <c r="F72" s="59">
        <f t="shared" si="25"/>
        <v>0</v>
      </c>
      <c r="G72" s="382">
        <f t="shared" si="26"/>
        <v>0</v>
      </c>
      <c r="H72" s="334">
        <f t="shared" si="27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>
      <c r="C73" s="12" t="s">
        <v>77</v>
      </c>
      <c r="D73" s="266"/>
      <c r="E73" s="266">
        <f>SUM(E17:E72)</f>
        <v>1338977.9100000008</v>
      </c>
      <c r="F73" s="266"/>
      <c r="G73" s="266">
        <f>SUM(G17:G72)</f>
        <v>4287207.6689945543</v>
      </c>
      <c r="H73" s="266">
        <f>SUM(H17:H72)</f>
        <v>4287207.6689945543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19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157003.1312434093</v>
      </c>
      <c r="N87" s="364">
        <f>IF(J92&lt;D11,0,VLOOKUP(J92,C17:O72,11))</f>
        <v>157003.1312434093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163669.24110791658</v>
      </c>
      <c r="N88" s="367">
        <f>IF(J92&lt;D11,0,VLOOKUP(J92,C99:P154,7))</f>
        <v>163669.24110791658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Valliant-NW Texarkana 345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6666.109864507278</v>
      </c>
      <c r="N89" s="369">
        <f>+N88-N87</f>
        <v>6666.109864507278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TP2009089</v>
      </c>
      <c r="E91" s="74" t="str">
        <f>E9</f>
        <v xml:space="preserve">  SPP Project ID = 936</v>
      </c>
      <c r="F91" s="74"/>
      <c r="G91" s="74"/>
      <c r="H91" s="74"/>
      <c r="I91" s="74"/>
      <c r="J91" s="74"/>
    </row>
    <row r="92" spans="1:16">
      <c r="C92" s="128" t="s">
        <v>226</v>
      </c>
      <c r="D92" s="372">
        <v>1338977.9100000004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2017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3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36189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2017</v>
      </c>
      <c r="D99" s="411">
        <v>0</v>
      </c>
      <c r="E99" s="432">
        <v>21831</v>
      </c>
      <c r="F99" s="411">
        <v>1317147</v>
      </c>
      <c r="G99" s="432">
        <v>658573.5</v>
      </c>
      <c r="H99" s="414">
        <v>105372.70906867021</v>
      </c>
      <c r="I99" s="431">
        <v>105372.70906867021</v>
      </c>
      <c r="J99" s="54">
        <f t="shared" ref="J99:J130" si="28">+I99-H99</f>
        <v>0</v>
      </c>
      <c r="K99" s="54"/>
      <c r="L99" s="53">
        <f>+H99</f>
        <v>105372.70906867021</v>
      </c>
      <c r="M99" s="53">
        <f t="shared" ref="M99:M130" si="29">IF(L99&lt;&gt;0,+H99-L99,0)</f>
        <v>0</v>
      </c>
      <c r="N99" s="53">
        <f>+I99</f>
        <v>105372.70906867021</v>
      </c>
      <c r="O99" s="53">
        <f t="shared" ref="O99:O130" si="30">IF(N99&lt;&gt;0,+I99-N99,0)</f>
        <v>0</v>
      </c>
      <c r="P99" s="53">
        <f t="shared" ref="P99:P130" si="31">+O99-M99</f>
        <v>0</v>
      </c>
    </row>
    <row r="100" spans="1:16">
      <c r="B100" s="7" t="str">
        <f>IF(D100=F99,"","IU")</f>
        <v/>
      </c>
      <c r="C100" s="50">
        <f>IF(D93="","-",+C99+1)</f>
        <v>2018</v>
      </c>
      <c r="D100" s="411">
        <v>1317147</v>
      </c>
      <c r="E100" s="412">
        <v>31139</v>
      </c>
      <c r="F100" s="413">
        <v>1286008</v>
      </c>
      <c r="G100" s="413">
        <v>1301577.5</v>
      </c>
      <c r="H100" s="430">
        <v>164857.30223166285</v>
      </c>
      <c r="I100" s="431">
        <v>164857.30223166285</v>
      </c>
      <c r="J100" s="54">
        <f t="shared" si="28"/>
        <v>0</v>
      </c>
      <c r="K100" s="54"/>
      <c r="L100" s="350">
        <f t="shared" ref="L100:L105" si="32">H100</f>
        <v>164857.30223166285</v>
      </c>
      <c r="M100" s="63">
        <f t="shared" ref="M100:M105" si="33">IF(L100&lt;&gt;0,+H100-L100,0)</f>
        <v>0</v>
      </c>
      <c r="N100" s="350">
        <f t="shared" ref="N100:N105" si="34">I100</f>
        <v>164857.30223166285</v>
      </c>
      <c r="O100" s="52">
        <f>IF(N100&lt;&gt;0,+I100-N100,0)</f>
        <v>0</v>
      </c>
      <c r="P100" s="54">
        <f>+O100-M100</f>
        <v>0</v>
      </c>
    </row>
    <row r="101" spans="1:16">
      <c r="B101" s="7" t="str">
        <f t="shared" ref="B101:B154" si="35">IF(D101=F100,"","IU")</f>
        <v/>
      </c>
      <c r="C101" s="50">
        <f>IF(D93="","-",+C100+1)</f>
        <v>2019</v>
      </c>
      <c r="D101" s="411">
        <v>1286008</v>
      </c>
      <c r="E101" s="412">
        <v>32658</v>
      </c>
      <c r="F101" s="413">
        <v>1253350</v>
      </c>
      <c r="G101" s="413">
        <v>1269679</v>
      </c>
      <c r="H101" s="430">
        <v>163579.71352002863</v>
      </c>
      <c r="I101" s="431">
        <v>163579.71352002863</v>
      </c>
      <c r="J101" s="54">
        <f t="shared" si="28"/>
        <v>0</v>
      </c>
      <c r="K101" s="54"/>
      <c r="L101" s="350">
        <f t="shared" si="32"/>
        <v>163579.71352002863</v>
      </c>
      <c r="M101" s="63">
        <f t="shared" si="33"/>
        <v>0</v>
      </c>
      <c r="N101" s="350">
        <f t="shared" si="34"/>
        <v>163579.71352002863</v>
      </c>
      <c r="O101" s="54">
        <f t="shared" si="30"/>
        <v>0</v>
      </c>
      <c r="P101" s="54">
        <f t="shared" si="31"/>
        <v>0</v>
      </c>
    </row>
    <row r="102" spans="1:16">
      <c r="B102" s="7" t="str">
        <f t="shared" si="35"/>
        <v/>
      </c>
      <c r="C102" s="50">
        <f>IF(D93="","-",+C101+1)</f>
        <v>2020</v>
      </c>
      <c r="D102" s="411">
        <v>1253350</v>
      </c>
      <c r="E102" s="412">
        <v>31139</v>
      </c>
      <c r="F102" s="413">
        <v>1222211</v>
      </c>
      <c r="G102" s="413">
        <v>1237780.5</v>
      </c>
      <c r="H102" s="430">
        <v>173851.68865310939</v>
      </c>
      <c r="I102" s="431">
        <v>173851.68865310939</v>
      </c>
      <c r="J102" s="54">
        <f t="shared" si="28"/>
        <v>0</v>
      </c>
      <c r="K102" s="54"/>
      <c r="L102" s="350">
        <f t="shared" si="32"/>
        <v>173851.68865310939</v>
      </c>
      <c r="M102" s="63">
        <f t="shared" si="33"/>
        <v>0</v>
      </c>
      <c r="N102" s="350">
        <f t="shared" si="34"/>
        <v>173851.68865310939</v>
      </c>
      <c r="O102" s="54">
        <f t="shared" si="30"/>
        <v>0</v>
      </c>
      <c r="P102" s="54">
        <f t="shared" si="31"/>
        <v>0</v>
      </c>
    </row>
    <row r="103" spans="1:16">
      <c r="B103" s="7" t="str">
        <f t="shared" si="35"/>
        <v/>
      </c>
      <c r="C103" s="50">
        <f>IF(D93="","-",+C102+1)</f>
        <v>2021</v>
      </c>
      <c r="D103" s="411">
        <v>1222211</v>
      </c>
      <c r="E103" s="412">
        <v>32658</v>
      </c>
      <c r="F103" s="413">
        <v>1189553</v>
      </c>
      <c r="G103" s="413">
        <v>1205882</v>
      </c>
      <c r="H103" s="430">
        <v>169878.68084636764</v>
      </c>
      <c r="I103" s="431">
        <v>169878.68084636764</v>
      </c>
      <c r="J103" s="54">
        <f t="shared" si="28"/>
        <v>0</v>
      </c>
      <c r="K103" s="54"/>
      <c r="L103" s="350">
        <f t="shared" si="32"/>
        <v>169878.68084636764</v>
      </c>
      <c r="M103" s="63">
        <f t="shared" si="33"/>
        <v>0</v>
      </c>
      <c r="N103" s="350">
        <f t="shared" si="34"/>
        <v>169878.68084636764</v>
      </c>
      <c r="O103" s="54">
        <f t="shared" si="30"/>
        <v>0</v>
      </c>
      <c r="P103" s="54">
        <f t="shared" si="31"/>
        <v>0</v>
      </c>
    </row>
    <row r="104" spans="1:16">
      <c r="B104" s="7" t="str">
        <f t="shared" si="35"/>
        <v/>
      </c>
      <c r="C104" s="50">
        <f>IF(D93="","-",+C103+1)</f>
        <v>2022</v>
      </c>
      <c r="D104" s="411">
        <v>1189553</v>
      </c>
      <c r="E104" s="412">
        <v>34333</v>
      </c>
      <c r="F104" s="413">
        <v>1155220</v>
      </c>
      <c r="G104" s="413">
        <v>1172386.5</v>
      </c>
      <c r="H104" s="430">
        <v>163509.65476559798</v>
      </c>
      <c r="I104" s="431">
        <v>163509.65476559798</v>
      </c>
      <c r="J104" s="54">
        <f t="shared" si="28"/>
        <v>0</v>
      </c>
      <c r="K104" s="54"/>
      <c r="L104" s="350">
        <f t="shared" si="32"/>
        <v>163509.65476559798</v>
      </c>
      <c r="M104" s="63">
        <f t="shared" si="33"/>
        <v>0</v>
      </c>
      <c r="N104" s="350">
        <f t="shared" si="34"/>
        <v>163509.65476559798</v>
      </c>
      <c r="O104" s="54">
        <f t="shared" ref="O104" si="36">IF(N104&lt;&gt;0,+I104-N104,0)</f>
        <v>0</v>
      </c>
      <c r="P104" s="54">
        <f t="shared" ref="P104" si="37">+O104-M104</f>
        <v>0</v>
      </c>
    </row>
    <row r="105" spans="1:16">
      <c r="B105" s="7" t="str">
        <f t="shared" si="35"/>
        <v>IU</v>
      </c>
      <c r="C105" s="50">
        <f>IF(D93="","-",+C104+1)</f>
        <v>2023</v>
      </c>
      <c r="D105" s="411">
        <v>1155219.9100000004</v>
      </c>
      <c r="E105" s="412">
        <v>35236</v>
      </c>
      <c r="F105" s="413">
        <v>1119983.9100000004</v>
      </c>
      <c r="G105" s="413">
        <v>1137601.9100000004</v>
      </c>
      <c r="H105" s="430">
        <v>165180.91372956004</v>
      </c>
      <c r="I105" s="431">
        <v>165180.91372956004</v>
      </c>
      <c r="J105" s="54">
        <f t="shared" si="28"/>
        <v>0</v>
      </c>
      <c r="K105" s="54"/>
      <c r="L105" s="350">
        <f t="shared" si="32"/>
        <v>165180.91372956004</v>
      </c>
      <c r="M105" s="63">
        <f t="shared" si="33"/>
        <v>0</v>
      </c>
      <c r="N105" s="350">
        <f t="shared" si="34"/>
        <v>165180.91372956004</v>
      </c>
      <c r="O105" s="54">
        <f t="shared" ref="O105" si="38">IF(N105&lt;&gt;0,+I105-N105,0)</f>
        <v>0</v>
      </c>
      <c r="P105" s="54">
        <f t="shared" ref="P105" si="39">+O105-M105</f>
        <v>0</v>
      </c>
    </row>
    <row r="106" spans="1:16">
      <c r="B106" s="7" t="str">
        <f t="shared" si="35"/>
        <v/>
      </c>
      <c r="C106" s="50">
        <f>IF(D93="","-",+C105+1)</f>
        <v>2024</v>
      </c>
      <c r="D106" s="411">
        <v>1119983.9100000004</v>
      </c>
      <c r="E106" s="412">
        <v>36189</v>
      </c>
      <c r="F106" s="413">
        <v>1083794.9100000004</v>
      </c>
      <c r="G106" s="413">
        <v>1101889.4100000004</v>
      </c>
      <c r="H106" s="430">
        <v>184193.36384650844</v>
      </c>
      <c r="I106" s="431">
        <v>184193.36384650844</v>
      </c>
      <c r="J106" s="54">
        <f t="shared" si="28"/>
        <v>0</v>
      </c>
      <c r="K106" s="54"/>
      <c r="L106" s="350">
        <f t="shared" ref="L106" si="40">H106</f>
        <v>184193.36384650844</v>
      </c>
      <c r="M106" s="63">
        <f t="shared" ref="M106" si="41">IF(L106&lt;&gt;0,+H106-L106,0)</f>
        <v>0</v>
      </c>
      <c r="N106" s="350">
        <f t="shared" ref="N106" si="42">I106</f>
        <v>184193.36384650844</v>
      </c>
      <c r="O106" s="54">
        <f t="shared" ref="O106" si="43">IF(N106&lt;&gt;0,+I106-N106,0)</f>
        <v>0</v>
      </c>
      <c r="P106" s="54">
        <f t="shared" ref="P106" si="44">+O106-M106</f>
        <v>0</v>
      </c>
    </row>
    <row r="107" spans="1:16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1083794.9100000004</v>
      </c>
      <c r="E107" s="354">
        <f t="shared" ref="E107:E154" si="45">IF(+J$96&lt;F106,J$96,D107)</f>
        <v>36189</v>
      </c>
      <c r="F107" s="55">
        <f t="shared" ref="F107:F154" si="46">+D107-E107</f>
        <v>1047605.9100000004</v>
      </c>
      <c r="G107" s="55">
        <f t="shared" ref="G107:G154" si="47">+(F107+D107)/2</f>
        <v>1065700.4100000004</v>
      </c>
      <c r="H107" s="355">
        <f t="shared" ref="H107:H153" si="48">(D107+F107)/2*J$94+E107</f>
        <v>163669.24110791658</v>
      </c>
      <c r="I107" s="381">
        <f t="shared" ref="I107:I153" si="49">+J$95*G107+E107</f>
        <v>163669.24110791658</v>
      </c>
      <c r="J107" s="54">
        <f t="shared" si="28"/>
        <v>0</v>
      </c>
      <c r="K107" s="54"/>
      <c r="L107" s="115"/>
      <c r="M107" s="54">
        <f t="shared" si="29"/>
        <v>0</v>
      </c>
      <c r="N107" s="115"/>
      <c r="O107" s="54">
        <f t="shared" si="30"/>
        <v>0</v>
      </c>
      <c r="P107" s="54">
        <f t="shared" si="31"/>
        <v>0</v>
      </c>
    </row>
    <row r="108" spans="1:16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1047605.9100000004</v>
      </c>
      <c r="E108" s="354">
        <f t="shared" si="45"/>
        <v>36189</v>
      </c>
      <c r="F108" s="55">
        <f t="shared" si="46"/>
        <v>1011416.9100000004</v>
      </c>
      <c r="G108" s="55">
        <f t="shared" si="47"/>
        <v>1029511.4100000004</v>
      </c>
      <c r="H108" s="355">
        <f t="shared" si="48"/>
        <v>159340.27360244811</v>
      </c>
      <c r="I108" s="381">
        <f t="shared" si="49"/>
        <v>159340.27360244811</v>
      </c>
      <c r="J108" s="54">
        <f t="shared" si="28"/>
        <v>0</v>
      </c>
      <c r="K108" s="54"/>
      <c r="L108" s="115"/>
      <c r="M108" s="54">
        <f t="shared" si="29"/>
        <v>0</v>
      </c>
      <c r="N108" s="115"/>
      <c r="O108" s="54">
        <f t="shared" si="30"/>
        <v>0</v>
      </c>
      <c r="P108" s="54">
        <f t="shared" si="31"/>
        <v>0</v>
      </c>
    </row>
    <row r="109" spans="1:16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1011416.9100000004</v>
      </c>
      <c r="E109" s="354">
        <f t="shared" si="45"/>
        <v>36189</v>
      </c>
      <c r="F109" s="55">
        <f t="shared" si="46"/>
        <v>975227.91000000038</v>
      </c>
      <c r="G109" s="55">
        <f t="shared" si="47"/>
        <v>993322.41000000038</v>
      </c>
      <c r="H109" s="355">
        <f t="shared" si="48"/>
        <v>155011.30609697971</v>
      </c>
      <c r="I109" s="381">
        <f t="shared" si="49"/>
        <v>155011.30609697971</v>
      </c>
      <c r="J109" s="54">
        <f t="shared" si="28"/>
        <v>0</v>
      </c>
      <c r="K109" s="54"/>
      <c r="L109" s="115"/>
      <c r="M109" s="54">
        <f t="shared" si="29"/>
        <v>0</v>
      </c>
      <c r="N109" s="115"/>
      <c r="O109" s="54">
        <f t="shared" si="30"/>
        <v>0</v>
      </c>
      <c r="P109" s="54">
        <f t="shared" si="31"/>
        <v>0</v>
      </c>
    </row>
    <row r="110" spans="1:16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975227.91000000038</v>
      </c>
      <c r="E110" s="354">
        <f t="shared" si="45"/>
        <v>36189</v>
      </c>
      <c r="F110" s="55">
        <f t="shared" si="46"/>
        <v>939038.91000000038</v>
      </c>
      <c r="G110" s="55">
        <f t="shared" si="47"/>
        <v>957133.41000000038</v>
      </c>
      <c r="H110" s="355">
        <f t="shared" si="48"/>
        <v>150682.33859151124</v>
      </c>
      <c r="I110" s="381">
        <f t="shared" si="49"/>
        <v>150682.33859151124</v>
      </c>
      <c r="J110" s="54">
        <f t="shared" si="28"/>
        <v>0</v>
      </c>
      <c r="K110" s="54"/>
      <c r="L110" s="115"/>
      <c r="M110" s="54">
        <f t="shared" si="29"/>
        <v>0</v>
      </c>
      <c r="N110" s="115"/>
      <c r="O110" s="54">
        <f t="shared" si="30"/>
        <v>0</v>
      </c>
      <c r="P110" s="54">
        <f t="shared" si="31"/>
        <v>0</v>
      </c>
    </row>
    <row r="111" spans="1:16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939038.91000000038</v>
      </c>
      <c r="E111" s="354">
        <f t="shared" si="45"/>
        <v>36189</v>
      </c>
      <c r="F111" s="55">
        <f t="shared" si="46"/>
        <v>902849.91000000038</v>
      </c>
      <c r="G111" s="55">
        <f t="shared" si="47"/>
        <v>920944.41000000038</v>
      </c>
      <c r="H111" s="355">
        <f t="shared" si="48"/>
        <v>146353.37108604284</v>
      </c>
      <c r="I111" s="381">
        <f t="shared" si="49"/>
        <v>146353.37108604284</v>
      </c>
      <c r="J111" s="54">
        <f t="shared" si="28"/>
        <v>0</v>
      </c>
      <c r="K111" s="54"/>
      <c r="L111" s="115"/>
      <c r="M111" s="54">
        <f t="shared" si="29"/>
        <v>0</v>
      </c>
      <c r="N111" s="115"/>
      <c r="O111" s="54">
        <f t="shared" si="30"/>
        <v>0</v>
      </c>
      <c r="P111" s="54">
        <f t="shared" si="31"/>
        <v>0</v>
      </c>
    </row>
    <row r="112" spans="1:16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902849.91000000038</v>
      </c>
      <c r="E112" s="354">
        <f t="shared" si="45"/>
        <v>36189</v>
      </c>
      <c r="F112" s="55">
        <f t="shared" si="46"/>
        <v>866660.91000000038</v>
      </c>
      <c r="G112" s="55">
        <f t="shared" si="47"/>
        <v>884755.41000000038</v>
      </c>
      <c r="H112" s="355">
        <f t="shared" si="48"/>
        <v>142024.40358057438</v>
      </c>
      <c r="I112" s="381">
        <f t="shared" si="49"/>
        <v>142024.40358057438</v>
      </c>
      <c r="J112" s="54">
        <f t="shared" si="28"/>
        <v>0</v>
      </c>
      <c r="K112" s="54"/>
      <c r="L112" s="115"/>
      <c r="M112" s="54">
        <f t="shared" si="29"/>
        <v>0</v>
      </c>
      <c r="N112" s="115"/>
      <c r="O112" s="54">
        <f t="shared" si="30"/>
        <v>0</v>
      </c>
      <c r="P112" s="54">
        <f t="shared" si="31"/>
        <v>0</v>
      </c>
    </row>
    <row r="113" spans="2:16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866660.91000000038</v>
      </c>
      <c r="E113" s="354">
        <f t="shared" si="45"/>
        <v>36189</v>
      </c>
      <c r="F113" s="55">
        <f t="shared" si="46"/>
        <v>830471.91000000038</v>
      </c>
      <c r="G113" s="55">
        <f t="shared" si="47"/>
        <v>848566.41000000038</v>
      </c>
      <c r="H113" s="355">
        <f t="shared" si="48"/>
        <v>137695.43607510594</v>
      </c>
      <c r="I113" s="381">
        <f t="shared" si="49"/>
        <v>137695.43607510594</v>
      </c>
      <c r="J113" s="54">
        <f t="shared" si="28"/>
        <v>0</v>
      </c>
      <c r="K113" s="54"/>
      <c r="L113" s="115"/>
      <c r="M113" s="54">
        <f t="shared" si="29"/>
        <v>0</v>
      </c>
      <c r="N113" s="115"/>
      <c r="O113" s="54">
        <f t="shared" si="30"/>
        <v>0</v>
      </c>
      <c r="P113" s="54">
        <f t="shared" si="31"/>
        <v>0</v>
      </c>
    </row>
    <row r="114" spans="2:16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830471.91000000038</v>
      </c>
      <c r="E114" s="354">
        <f t="shared" si="45"/>
        <v>36189</v>
      </c>
      <c r="F114" s="55">
        <f t="shared" si="46"/>
        <v>794282.91000000038</v>
      </c>
      <c r="G114" s="55">
        <f t="shared" si="47"/>
        <v>812377.41000000038</v>
      </c>
      <c r="H114" s="355">
        <f t="shared" si="48"/>
        <v>133366.46856963751</v>
      </c>
      <c r="I114" s="381">
        <f t="shared" si="49"/>
        <v>133366.46856963751</v>
      </c>
      <c r="J114" s="54">
        <f t="shared" si="28"/>
        <v>0</v>
      </c>
      <c r="K114" s="54"/>
      <c r="L114" s="115"/>
      <c r="M114" s="54">
        <f t="shared" si="29"/>
        <v>0</v>
      </c>
      <c r="N114" s="115"/>
      <c r="O114" s="54">
        <f t="shared" si="30"/>
        <v>0</v>
      </c>
      <c r="P114" s="54">
        <f t="shared" si="31"/>
        <v>0</v>
      </c>
    </row>
    <row r="115" spans="2:16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794282.91000000038</v>
      </c>
      <c r="E115" s="354">
        <f t="shared" si="45"/>
        <v>36189</v>
      </c>
      <c r="F115" s="55">
        <f t="shared" si="46"/>
        <v>758093.91000000038</v>
      </c>
      <c r="G115" s="55">
        <f t="shared" si="47"/>
        <v>776188.41000000038</v>
      </c>
      <c r="H115" s="355">
        <f t="shared" si="48"/>
        <v>129037.50106416908</v>
      </c>
      <c r="I115" s="381">
        <f t="shared" si="49"/>
        <v>129037.50106416908</v>
      </c>
      <c r="J115" s="54">
        <f t="shared" si="28"/>
        <v>0</v>
      </c>
      <c r="K115" s="54"/>
      <c r="L115" s="115"/>
      <c r="M115" s="54">
        <f t="shared" si="29"/>
        <v>0</v>
      </c>
      <c r="N115" s="115"/>
      <c r="O115" s="54">
        <f t="shared" si="30"/>
        <v>0</v>
      </c>
      <c r="P115" s="54">
        <f t="shared" si="31"/>
        <v>0</v>
      </c>
    </row>
    <row r="116" spans="2:16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758093.91000000038</v>
      </c>
      <c r="E116" s="354">
        <f t="shared" si="45"/>
        <v>36189</v>
      </c>
      <c r="F116" s="55">
        <f t="shared" si="46"/>
        <v>721904.91000000038</v>
      </c>
      <c r="G116" s="55">
        <f t="shared" si="47"/>
        <v>739999.41000000038</v>
      </c>
      <c r="H116" s="355">
        <f t="shared" si="48"/>
        <v>124708.53355870063</v>
      </c>
      <c r="I116" s="381">
        <f t="shared" si="49"/>
        <v>124708.53355870063</v>
      </c>
      <c r="J116" s="54">
        <f t="shared" si="28"/>
        <v>0</v>
      </c>
      <c r="K116" s="54"/>
      <c r="L116" s="115"/>
      <c r="M116" s="54">
        <f t="shared" si="29"/>
        <v>0</v>
      </c>
      <c r="N116" s="115"/>
      <c r="O116" s="54">
        <f t="shared" si="30"/>
        <v>0</v>
      </c>
      <c r="P116" s="54">
        <f t="shared" si="31"/>
        <v>0</v>
      </c>
    </row>
    <row r="117" spans="2:16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721904.91000000038</v>
      </c>
      <c r="E117" s="354">
        <f t="shared" si="45"/>
        <v>36189</v>
      </c>
      <c r="F117" s="55">
        <f t="shared" si="46"/>
        <v>685715.91000000038</v>
      </c>
      <c r="G117" s="55">
        <f t="shared" si="47"/>
        <v>703810.41000000038</v>
      </c>
      <c r="H117" s="355">
        <f t="shared" si="48"/>
        <v>120379.56605323219</v>
      </c>
      <c r="I117" s="381">
        <f t="shared" si="49"/>
        <v>120379.56605323219</v>
      </c>
      <c r="J117" s="54">
        <f t="shared" si="28"/>
        <v>0</v>
      </c>
      <c r="K117" s="54"/>
      <c r="L117" s="115"/>
      <c r="M117" s="54">
        <f t="shared" si="29"/>
        <v>0</v>
      </c>
      <c r="N117" s="115"/>
      <c r="O117" s="54">
        <f t="shared" si="30"/>
        <v>0</v>
      </c>
      <c r="P117" s="54">
        <f t="shared" si="31"/>
        <v>0</v>
      </c>
    </row>
    <row r="118" spans="2:16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685715.91000000038</v>
      </c>
      <c r="E118" s="354">
        <f t="shared" si="45"/>
        <v>36189</v>
      </c>
      <c r="F118" s="55">
        <f t="shared" si="46"/>
        <v>649526.91000000038</v>
      </c>
      <c r="G118" s="55">
        <f t="shared" si="47"/>
        <v>667621.41000000038</v>
      </c>
      <c r="H118" s="355">
        <f t="shared" si="48"/>
        <v>116050.59854776376</v>
      </c>
      <c r="I118" s="381">
        <f t="shared" si="49"/>
        <v>116050.59854776376</v>
      </c>
      <c r="J118" s="54">
        <f t="shared" si="28"/>
        <v>0</v>
      </c>
      <c r="K118" s="54"/>
      <c r="L118" s="115"/>
      <c r="M118" s="54">
        <f t="shared" si="29"/>
        <v>0</v>
      </c>
      <c r="N118" s="115"/>
      <c r="O118" s="54">
        <f t="shared" si="30"/>
        <v>0</v>
      </c>
      <c r="P118" s="54">
        <f t="shared" si="31"/>
        <v>0</v>
      </c>
    </row>
    <row r="119" spans="2:16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649526.91000000038</v>
      </c>
      <c r="E119" s="354">
        <f t="shared" si="45"/>
        <v>36189</v>
      </c>
      <c r="F119" s="55">
        <f t="shared" si="46"/>
        <v>613337.91000000038</v>
      </c>
      <c r="G119" s="55">
        <f t="shared" si="47"/>
        <v>631432.41000000038</v>
      </c>
      <c r="H119" s="355">
        <f t="shared" si="48"/>
        <v>111721.63104229532</v>
      </c>
      <c r="I119" s="381">
        <f t="shared" si="49"/>
        <v>111721.63104229532</v>
      </c>
      <c r="J119" s="54">
        <f t="shared" si="28"/>
        <v>0</v>
      </c>
      <c r="K119" s="54"/>
      <c r="L119" s="115"/>
      <c r="M119" s="54">
        <f t="shared" si="29"/>
        <v>0</v>
      </c>
      <c r="N119" s="115"/>
      <c r="O119" s="54">
        <f t="shared" si="30"/>
        <v>0</v>
      </c>
      <c r="P119" s="54">
        <f t="shared" si="31"/>
        <v>0</v>
      </c>
    </row>
    <row r="120" spans="2:16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613337.91000000038</v>
      </c>
      <c r="E120" s="354">
        <f t="shared" si="45"/>
        <v>36189</v>
      </c>
      <c r="F120" s="55">
        <f t="shared" si="46"/>
        <v>577148.91000000038</v>
      </c>
      <c r="G120" s="55">
        <f t="shared" si="47"/>
        <v>595243.41000000038</v>
      </c>
      <c r="H120" s="355">
        <f t="shared" si="48"/>
        <v>107392.66353682688</v>
      </c>
      <c r="I120" s="381">
        <f t="shared" si="49"/>
        <v>107392.66353682688</v>
      </c>
      <c r="J120" s="54">
        <f t="shared" si="28"/>
        <v>0</v>
      </c>
      <c r="K120" s="54"/>
      <c r="L120" s="115"/>
      <c r="M120" s="54">
        <f t="shared" si="29"/>
        <v>0</v>
      </c>
      <c r="N120" s="115"/>
      <c r="O120" s="54">
        <f t="shared" si="30"/>
        <v>0</v>
      </c>
      <c r="P120" s="54">
        <f t="shared" si="31"/>
        <v>0</v>
      </c>
    </row>
    <row r="121" spans="2:16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577148.91000000038</v>
      </c>
      <c r="E121" s="354">
        <f t="shared" si="45"/>
        <v>36189</v>
      </c>
      <c r="F121" s="55">
        <f t="shared" si="46"/>
        <v>540959.91000000038</v>
      </c>
      <c r="G121" s="55">
        <f t="shared" si="47"/>
        <v>559054.41000000038</v>
      </c>
      <c r="H121" s="355">
        <f t="shared" si="48"/>
        <v>103063.69603135844</v>
      </c>
      <c r="I121" s="381">
        <f t="shared" si="49"/>
        <v>103063.69603135844</v>
      </c>
      <c r="J121" s="54">
        <f t="shared" si="28"/>
        <v>0</v>
      </c>
      <c r="K121" s="54"/>
      <c r="L121" s="115"/>
      <c r="M121" s="54">
        <f t="shared" si="29"/>
        <v>0</v>
      </c>
      <c r="N121" s="115"/>
      <c r="O121" s="54">
        <f t="shared" si="30"/>
        <v>0</v>
      </c>
      <c r="P121" s="54">
        <f t="shared" si="31"/>
        <v>0</v>
      </c>
    </row>
    <row r="122" spans="2:16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540959.91000000038</v>
      </c>
      <c r="E122" s="354">
        <f t="shared" si="45"/>
        <v>36189</v>
      </c>
      <c r="F122" s="55">
        <f t="shared" si="46"/>
        <v>504770.91000000038</v>
      </c>
      <c r="G122" s="55">
        <f t="shared" si="47"/>
        <v>522865.41000000038</v>
      </c>
      <c r="H122" s="355">
        <f t="shared" si="48"/>
        <v>98734.728525890008</v>
      </c>
      <c r="I122" s="381">
        <f t="shared" si="49"/>
        <v>98734.728525890008</v>
      </c>
      <c r="J122" s="54">
        <f t="shared" si="28"/>
        <v>0</v>
      </c>
      <c r="K122" s="54"/>
      <c r="L122" s="115"/>
      <c r="M122" s="54">
        <f t="shared" si="29"/>
        <v>0</v>
      </c>
      <c r="N122" s="115"/>
      <c r="O122" s="54">
        <f t="shared" si="30"/>
        <v>0</v>
      </c>
      <c r="P122" s="54">
        <f t="shared" si="31"/>
        <v>0</v>
      </c>
    </row>
    <row r="123" spans="2:16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504770.91000000038</v>
      </c>
      <c r="E123" s="354">
        <f t="shared" si="45"/>
        <v>36189</v>
      </c>
      <c r="F123" s="55">
        <f t="shared" si="46"/>
        <v>468581.91000000038</v>
      </c>
      <c r="G123" s="55">
        <f t="shared" si="47"/>
        <v>486676.41000000038</v>
      </c>
      <c r="H123" s="355">
        <f t="shared" si="48"/>
        <v>94405.761020421574</v>
      </c>
      <c r="I123" s="381">
        <f t="shared" si="49"/>
        <v>94405.761020421574</v>
      </c>
      <c r="J123" s="54">
        <f t="shared" si="28"/>
        <v>0</v>
      </c>
      <c r="K123" s="54"/>
      <c r="L123" s="115"/>
      <c r="M123" s="54">
        <f t="shared" si="29"/>
        <v>0</v>
      </c>
      <c r="N123" s="115"/>
      <c r="O123" s="54">
        <f t="shared" si="30"/>
        <v>0</v>
      </c>
      <c r="P123" s="54">
        <f t="shared" si="31"/>
        <v>0</v>
      </c>
    </row>
    <row r="124" spans="2:16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468581.91000000038</v>
      </c>
      <c r="E124" s="354">
        <f t="shared" si="45"/>
        <v>36189</v>
      </c>
      <c r="F124" s="55">
        <f t="shared" si="46"/>
        <v>432392.91000000038</v>
      </c>
      <c r="G124" s="55">
        <f t="shared" si="47"/>
        <v>450487.41000000038</v>
      </c>
      <c r="H124" s="355">
        <f t="shared" si="48"/>
        <v>90076.79351495314</v>
      </c>
      <c r="I124" s="381">
        <f t="shared" si="49"/>
        <v>90076.79351495314</v>
      </c>
      <c r="J124" s="54">
        <f t="shared" si="28"/>
        <v>0</v>
      </c>
      <c r="K124" s="54"/>
      <c r="L124" s="115"/>
      <c r="M124" s="54">
        <f t="shared" si="29"/>
        <v>0</v>
      </c>
      <c r="N124" s="115"/>
      <c r="O124" s="54">
        <f t="shared" si="30"/>
        <v>0</v>
      </c>
      <c r="P124" s="54">
        <f t="shared" si="31"/>
        <v>0</v>
      </c>
    </row>
    <row r="125" spans="2:16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432392.91000000038</v>
      </c>
      <c r="E125" s="354">
        <f t="shared" si="45"/>
        <v>36189</v>
      </c>
      <c r="F125" s="55">
        <f t="shared" si="46"/>
        <v>396203.91000000038</v>
      </c>
      <c r="G125" s="55">
        <f t="shared" si="47"/>
        <v>414298.41000000038</v>
      </c>
      <c r="H125" s="355">
        <f t="shared" si="48"/>
        <v>85747.826009484692</v>
      </c>
      <c r="I125" s="381">
        <f t="shared" si="49"/>
        <v>85747.826009484692</v>
      </c>
      <c r="J125" s="54">
        <f t="shared" si="28"/>
        <v>0</v>
      </c>
      <c r="K125" s="54"/>
      <c r="L125" s="115"/>
      <c r="M125" s="54">
        <f t="shared" si="29"/>
        <v>0</v>
      </c>
      <c r="N125" s="115"/>
      <c r="O125" s="54">
        <f t="shared" si="30"/>
        <v>0</v>
      </c>
      <c r="P125" s="54">
        <f t="shared" si="31"/>
        <v>0</v>
      </c>
    </row>
    <row r="126" spans="2:16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396203.91000000038</v>
      </c>
      <c r="E126" s="354">
        <f t="shared" si="45"/>
        <v>36189</v>
      </c>
      <c r="F126" s="55">
        <f t="shared" si="46"/>
        <v>360014.91000000038</v>
      </c>
      <c r="G126" s="55">
        <f t="shared" si="47"/>
        <v>378109.41000000038</v>
      </c>
      <c r="H126" s="355">
        <f t="shared" si="48"/>
        <v>81418.858504016258</v>
      </c>
      <c r="I126" s="381">
        <f t="shared" si="49"/>
        <v>81418.858504016258</v>
      </c>
      <c r="J126" s="54">
        <f t="shared" si="28"/>
        <v>0</v>
      </c>
      <c r="K126" s="54"/>
      <c r="L126" s="115"/>
      <c r="M126" s="54">
        <f t="shared" si="29"/>
        <v>0</v>
      </c>
      <c r="N126" s="115"/>
      <c r="O126" s="54">
        <f t="shared" si="30"/>
        <v>0</v>
      </c>
      <c r="P126" s="54">
        <f t="shared" si="31"/>
        <v>0</v>
      </c>
    </row>
    <row r="127" spans="2:16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360014.91000000038</v>
      </c>
      <c r="E127" s="354">
        <f t="shared" si="45"/>
        <v>36189</v>
      </c>
      <c r="F127" s="55">
        <f t="shared" si="46"/>
        <v>323825.91000000038</v>
      </c>
      <c r="G127" s="55">
        <f t="shared" si="47"/>
        <v>341920.41000000038</v>
      </c>
      <c r="H127" s="355">
        <f t="shared" si="48"/>
        <v>77089.890998547809</v>
      </c>
      <c r="I127" s="381">
        <f t="shared" si="49"/>
        <v>77089.890998547809</v>
      </c>
      <c r="J127" s="54">
        <f t="shared" si="28"/>
        <v>0</v>
      </c>
      <c r="K127" s="54"/>
      <c r="L127" s="115"/>
      <c r="M127" s="54">
        <f t="shared" si="29"/>
        <v>0</v>
      </c>
      <c r="N127" s="115"/>
      <c r="O127" s="54">
        <f t="shared" si="30"/>
        <v>0</v>
      </c>
      <c r="P127" s="54">
        <f t="shared" si="31"/>
        <v>0</v>
      </c>
    </row>
    <row r="128" spans="2:16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323825.91000000038</v>
      </c>
      <c r="E128" s="354">
        <f t="shared" si="45"/>
        <v>36189</v>
      </c>
      <c r="F128" s="55">
        <f t="shared" si="46"/>
        <v>287636.91000000038</v>
      </c>
      <c r="G128" s="55">
        <f t="shared" si="47"/>
        <v>305731.41000000038</v>
      </c>
      <c r="H128" s="355">
        <f t="shared" si="48"/>
        <v>72760.923493079375</v>
      </c>
      <c r="I128" s="381">
        <f t="shared" si="49"/>
        <v>72760.923493079375</v>
      </c>
      <c r="J128" s="54">
        <f t="shared" si="28"/>
        <v>0</v>
      </c>
      <c r="K128" s="54"/>
      <c r="L128" s="115"/>
      <c r="M128" s="54">
        <f t="shared" si="29"/>
        <v>0</v>
      </c>
      <c r="N128" s="115"/>
      <c r="O128" s="54">
        <f t="shared" si="30"/>
        <v>0</v>
      </c>
      <c r="P128" s="54">
        <f t="shared" si="31"/>
        <v>0</v>
      </c>
    </row>
    <row r="129" spans="2:16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287636.91000000038</v>
      </c>
      <c r="E129" s="354">
        <f t="shared" si="45"/>
        <v>36189</v>
      </c>
      <c r="F129" s="55">
        <f t="shared" si="46"/>
        <v>251447.91000000038</v>
      </c>
      <c r="G129" s="55">
        <f t="shared" si="47"/>
        <v>269542.41000000038</v>
      </c>
      <c r="H129" s="355">
        <f t="shared" si="48"/>
        <v>68431.955987610942</v>
      </c>
      <c r="I129" s="381">
        <f t="shared" si="49"/>
        <v>68431.955987610942</v>
      </c>
      <c r="J129" s="54">
        <f t="shared" si="28"/>
        <v>0</v>
      </c>
      <c r="K129" s="54"/>
      <c r="L129" s="115"/>
      <c r="M129" s="54">
        <f t="shared" si="29"/>
        <v>0</v>
      </c>
      <c r="N129" s="115"/>
      <c r="O129" s="54">
        <f t="shared" si="30"/>
        <v>0</v>
      </c>
      <c r="P129" s="54">
        <f t="shared" si="31"/>
        <v>0</v>
      </c>
    </row>
    <row r="130" spans="2:16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251447.91000000038</v>
      </c>
      <c r="E130" s="354">
        <f t="shared" si="45"/>
        <v>36189</v>
      </c>
      <c r="F130" s="55">
        <f t="shared" si="46"/>
        <v>215258.91000000038</v>
      </c>
      <c r="G130" s="55">
        <f t="shared" si="47"/>
        <v>233353.41000000038</v>
      </c>
      <c r="H130" s="355">
        <f t="shared" si="48"/>
        <v>64102.988482142508</v>
      </c>
      <c r="I130" s="381">
        <f t="shared" si="49"/>
        <v>64102.988482142508</v>
      </c>
      <c r="J130" s="54">
        <f t="shared" si="28"/>
        <v>0</v>
      </c>
      <c r="K130" s="54"/>
      <c r="L130" s="115"/>
      <c r="M130" s="54">
        <f t="shared" si="29"/>
        <v>0</v>
      </c>
      <c r="N130" s="115"/>
      <c r="O130" s="54">
        <f t="shared" si="30"/>
        <v>0</v>
      </c>
      <c r="P130" s="54">
        <f t="shared" si="31"/>
        <v>0</v>
      </c>
    </row>
    <row r="131" spans="2:16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215258.91000000038</v>
      </c>
      <c r="E131" s="354">
        <f t="shared" si="45"/>
        <v>36189</v>
      </c>
      <c r="F131" s="55">
        <f t="shared" si="46"/>
        <v>179069.91000000038</v>
      </c>
      <c r="G131" s="55">
        <f t="shared" si="47"/>
        <v>197164.41000000038</v>
      </c>
      <c r="H131" s="355">
        <f t="shared" si="48"/>
        <v>59774.020976674074</v>
      </c>
      <c r="I131" s="381">
        <f t="shared" si="49"/>
        <v>59774.020976674074</v>
      </c>
      <c r="J131" s="54">
        <f t="shared" ref="J131:J154" si="50">+I541-H541</f>
        <v>0</v>
      </c>
      <c r="K131" s="54"/>
      <c r="L131" s="115"/>
      <c r="M131" s="54">
        <f t="shared" ref="M131:M154" si="51">IF(L541&lt;&gt;0,+H541-L541,0)</f>
        <v>0</v>
      </c>
      <c r="N131" s="115"/>
      <c r="O131" s="54">
        <f t="shared" ref="O131:O154" si="52">IF(N541&lt;&gt;0,+I541-N541,0)</f>
        <v>0</v>
      </c>
      <c r="P131" s="54">
        <f t="shared" ref="P131:P154" si="53">+O541-M541</f>
        <v>0</v>
      </c>
    </row>
    <row r="132" spans="2:16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179069.91000000038</v>
      </c>
      <c r="E132" s="354">
        <f t="shared" si="45"/>
        <v>36189</v>
      </c>
      <c r="F132" s="55">
        <f t="shared" si="46"/>
        <v>142880.91000000038</v>
      </c>
      <c r="G132" s="55">
        <f t="shared" si="47"/>
        <v>160975.41000000038</v>
      </c>
      <c r="H132" s="355">
        <f t="shared" si="48"/>
        <v>55445.053471205632</v>
      </c>
      <c r="I132" s="381">
        <f t="shared" si="49"/>
        <v>55445.053471205632</v>
      </c>
      <c r="J132" s="54">
        <f t="shared" si="50"/>
        <v>0</v>
      </c>
      <c r="K132" s="54"/>
      <c r="L132" s="115"/>
      <c r="M132" s="54">
        <f t="shared" si="51"/>
        <v>0</v>
      </c>
      <c r="N132" s="115"/>
      <c r="O132" s="54">
        <f t="shared" si="52"/>
        <v>0</v>
      </c>
      <c r="P132" s="54">
        <f t="shared" si="53"/>
        <v>0</v>
      </c>
    </row>
    <row r="133" spans="2:16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142880.91000000038</v>
      </c>
      <c r="E133" s="354">
        <f t="shared" si="45"/>
        <v>36189</v>
      </c>
      <c r="F133" s="55">
        <f t="shared" si="46"/>
        <v>106691.91000000038</v>
      </c>
      <c r="G133" s="55">
        <f t="shared" si="47"/>
        <v>124786.41000000038</v>
      </c>
      <c r="H133" s="355">
        <f t="shared" si="48"/>
        <v>51116.085965737191</v>
      </c>
      <c r="I133" s="381">
        <f t="shared" si="49"/>
        <v>51116.085965737191</v>
      </c>
      <c r="J133" s="54">
        <f t="shared" si="50"/>
        <v>0</v>
      </c>
      <c r="K133" s="54"/>
      <c r="L133" s="115"/>
      <c r="M133" s="54">
        <f t="shared" si="51"/>
        <v>0</v>
      </c>
      <c r="N133" s="115"/>
      <c r="O133" s="54">
        <f t="shared" si="52"/>
        <v>0</v>
      </c>
      <c r="P133" s="54">
        <f t="shared" si="53"/>
        <v>0</v>
      </c>
    </row>
    <row r="134" spans="2:16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106691.91000000038</v>
      </c>
      <c r="E134" s="354">
        <f t="shared" si="45"/>
        <v>36189</v>
      </c>
      <c r="F134" s="55">
        <f t="shared" si="46"/>
        <v>70502.910000000382</v>
      </c>
      <c r="G134" s="55">
        <f t="shared" si="47"/>
        <v>88597.410000000382</v>
      </c>
      <c r="H134" s="355">
        <f t="shared" si="48"/>
        <v>46787.118460268757</v>
      </c>
      <c r="I134" s="381">
        <f t="shared" si="49"/>
        <v>46787.118460268757</v>
      </c>
      <c r="J134" s="54">
        <f t="shared" si="50"/>
        <v>0</v>
      </c>
      <c r="K134" s="54"/>
      <c r="L134" s="115"/>
      <c r="M134" s="54">
        <f t="shared" si="51"/>
        <v>0</v>
      </c>
      <c r="N134" s="115"/>
      <c r="O134" s="54">
        <f t="shared" si="52"/>
        <v>0</v>
      </c>
      <c r="P134" s="54">
        <f t="shared" si="53"/>
        <v>0</v>
      </c>
    </row>
    <row r="135" spans="2:16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70502.910000000382</v>
      </c>
      <c r="E135" s="354">
        <f t="shared" si="45"/>
        <v>36189</v>
      </c>
      <c r="F135" s="55">
        <f t="shared" si="46"/>
        <v>34313.910000000382</v>
      </c>
      <c r="G135" s="55">
        <f t="shared" si="47"/>
        <v>52408.410000000382</v>
      </c>
      <c r="H135" s="355">
        <f t="shared" si="48"/>
        <v>42458.150954800323</v>
      </c>
      <c r="I135" s="381">
        <f t="shared" si="49"/>
        <v>42458.150954800323</v>
      </c>
      <c r="J135" s="54">
        <f t="shared" si="50"/>
        <v>0</v>
      </c>
      <c r="K135" s="54"/>
      <c r="L135" s="115"/>
      <c r="M135" s="54">
        <f t="shared" si="51"/>
        <v>0</v>
      </c>
      <c r="N135" s="115"/>
      <c r="O135" s="54">
        <f t="shared" si="52"/>
        <v>0</v>
      </c>
      <c r="P135" s="54">
        <f t="shared" si="53"/>
        <v>0</v>
      </c>
    </row>
    <row r="136" spans="2:16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34313.910000000382</v>
      </c>
      <c r="E136" s="354">
        <f t="shared" si="45"/>
        <v>34313.910000000382</v>
      </c>
      <c r="F136" s="55">
        <f t="shared" si="46"/>
        <v>0</v>
      </c>
      <c r="G136" s="55">
        <f t="shared" si="47"/>
        <v>17156.955000000191</v>
      </c>
      <c r="H136" s="355">
        <f t="shared" si="48"/>
        <v>36366.243601033435</v>
      </c>
      <c r="I136" s="381">
        <f t="shared" si="49"/>
        <v>36366.243601033435</v>
      </c>
      <c r="J136" s="54">
        <f t="shared" si="50"/>
        <v>0</v>
      </c>
      <c r="K136" s="54"/>
      <c r="L136" s="115"/>
      <c r="M136" s="54">
        <f t="shared" si="51"/>
        <v>0</v>
      </c>
      <c r="N136" s="115"/>
      <c r="O136" s="54">
        <f t="shared" si="52"/>
        <v>0</v>
      </c>
      <c r="P136" s="54">
        <f t="shared" si="53"/>
        <v>0</v>
      </c>
    </row>
    <row r="137" spans="2:16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0</v>
      </c>
      <c r="E137" s="354">
        <f t="shared" si="45"/>
        <v>0</v>
      </c>
      <c r="F137" s="55">
        <f t="shared" si="46"/>
        <v>0</v>
      </c>
      <c r="G137" s="55">
        <f t="shared" si="47"/>
        <v>0</v>
      </c>
      <c r="H137" s="355">
        <f t="shared" si="48"/>
        <v>0</v>
      </c>
      <c r="I137" s="381">
        <f t="shared" si="49"/>
        <v>0</v>
      </c>
      <c r="J137" s="54">
        <f t="shared" si="50"/>
        <v>0</v>
      </c>
      <c r="K137" s="54"/>
      <c r="L137" s="115"/>
      <c r="M137" s="54">
        <f t="shared" si="51"/>
        <v>0</v>
      </c>
      <c r="N137" s="115"/>
      <c r="O137" s="54">
        <f t="shared" si="52"/>
        <v>0</v>
      </c>
      <c r="P137" s="54">
        <f t="shared" si="53"/>
        <v>0</v>
      </c>
    </row>
    <row r="138" spans="2:16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0</v>
      </c>
      <c r="E138" s="354">
        <f t="shared" si="45"/>
        <v>0</v>
      </c>
      <c r="F138" s="55">
        <f t="shared" si="46"/>
        <v>0</v>
      </c>
      <c r="G138" s="55">
        <f t="shared" si="47"/>
        <v>0</v>
      </c>
      <c r="H138" s="355">
        <f t="shared" si="48"/>
        <v>0</v>
      </c>
      <c r="I138" s="381">
        <f t="shared" si="49"/>
        <v>0</v>
      </c>
      <c r="J138" s="54">
        <f t="shared" si="50"/>
        <v>0</v>
      </c>
      <c r="K138" s="54"/>
      <c r="L138" s="115"/>
      <c r="M138" s="54">
        <f t="shared" si="51"/>
        <v>0</v>
      </c>
      <c r="N138" s="115"/>
      <c r="O138" s="54">
        <f t="shared" si="52"/>
        <v>0</v>
      </c>
      <c r="P138" s="54">
        <f t="shared" si="53"/>
        <v>0</v>
      </c>
    </row>
    <row r="139" spans="2:16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0</v>
      </c>
      <c r="E139" s="354">
        <f t="shared" si="45"/>
        <v>0</v>
      </c>
      <c r="F139" s="55">
        <f t="shared" si="46"/>
        <v>0</v>
      </c>
      <c r="G139" s="55">
        <f t="shared" si="47"/>
        <v>0</v>
      </c>
      <c r="H139" s="355">
        <f t="shared" si="48"/>
        <v>0</v>
      </c>
      <c r="I139" s="381">
        <f t="shared" si="49"/>
        <v>0</v>
      </c>
      <c r="J139" s="54">
        <f t="shared" si="50"/>
        <v>0</v>
      </c>
      <c r="K139" s="54"/>
      <c r="L139" s="115"/>
      <c r="M139" s="54">
        <f t="shared" si="51"/>
        <v>0</v>
      </c>
      <c r="N139" s="115"/>
      <c r="O139" s="54">
        <f t="shared" si="52"/>
        <v>0</v>
      </c>
      <c r="P139" s="54">
        <f t="shared" si="53"/>
        <v>0</v>
      </c>
    </row>
    <row r="140" spans="2:16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0</v>
      </c>
      <c r="E140" s="354">
        <f t="shared" si="45"/>
        <v>0</v>
      </c>
      <c r="F140" s="55">
        <f t="shared" si="46"/>
        <v>0</v>
      </c>
      <c r="G140" s="55">
        <f t="shared" si="47"/>
        <v>0</v>
      </c>
      <c r="H140" s="355">
        <f t="shared" si="48"/>
        <v>0</v>
      </c>
      <c r="I140" s="381">
        <f t="shared" si="49"/>
        <v>0</v>
      </c>
      <c r="J140" s="54">
        <f t="shared" si="50"/>
        <v>0</v>
      </c>
      <c r="K140" s="54"/>
      <c r="L140" s="115"/>
      <c r="M140" s="54">
        <f t="shared" si="51"/>
        <v>0</v>
      </c>
      <c r="N140" s="115"/>
      <c r="O140" s="54">
        <f t="shared" si="52"/>
        <v>0</v>
      </c>
      <c r="P140" s="54">
        <f t="shared" si="53"/>
        <v>0</v>
      </c>
    </row>
    <row r="141" spans="2:16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0</v>
      </c>
      <c r="E141" s="354">
        <f t="shared" si="45"/>
        <v>0</v>
      </c>
      <c r="F141" s="55">
        <f t="shared" si="46"/>
        <v>0</v>
      </c>
      <c r="G141" s="55">
        <f t="shared" si="47"/>
        <v>0</v>
      </c>
      <c r="H141" s="355">
        <f t="shared" si="48"/>
        <v>0</v>
      </c>
      <c r="I141" s="381">
        <f t="shared" si="49"/>
        <v>0</v>
      </c>
      <c r="J141" s="54">
        <f t="shared" si="50"/>
        <v>0</v>
      </c>
      <c r="K141" s="54"/>
      <c r="L141" s="115"/>
      <c r="M141" s="54">
        <f t="shared" si="51"/>
        <v>0</v>
      </c>
      <c r="N141" s="115"/>
      <c r="O141" s="54">
        <f t="shared" si="52"/>
        <v>0</v>
      </c>
      <c r="P141" s="54">
        <f t="shared" si="53"/>
        <v>0</v>
      </c>
    </row>
    <row r="142" spans="2:16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0</v>
      </c>
      <c r="E142" s="354">
        <f t="shared" si="45"/>
        <v>0</v>
      </c>
      <c r="F142" s="55">
        <f t="shared" si="46"/>
        <v>0</v>
      </c>
      <c r="G142" s="55">
        <f t="shared" si="47"/>
        <v>0</v>
      </c>
      <c r="H142" s="355">
        <f t="shared" si="48"/>
        <v>0</v>
      </c>
      <c r="I142" s="381">
        <f t="shared" si="49"/>
        <v>0</v>
      </c>
      <c r="J142" s="54">
        <f t="shared" si="50"/>
        <v>0</v>
      </c>
      <c r="K142" s="54"/>
      <c r="L142" s="115"/>
      <c r="M142" s="54">
        <f t="shared" si="51"/>
        <v>0</v>
      </c>
      <c r="N142" s="115"/>
      <c r="O142" s="54">
        <f t="shared" si="52"/>
        <v>0</v>
      </c>
      <c r="P142" s="54">
        <f t="shared" si="53"/>
        <v>0</v>
      </c>
    </row>
    <row r="143" spans="2:16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0</v>
      </c>
      <c r="E143" s="354">
        <f t="shared" si="45"/>
        <v>0</v>
      </c>
      <c r="F143" s="55">
        <f t="shared" si="46"/>
        <v>0</v>
      </c>
      <c r="G143" s="55">
        <f t="shared" si="47"/>
        <v>0</v>
      </c>
      <c r="H143" s="355">
        <f t="shared" si="48"/>
        <v>0</v>
      </c>
      <c r="I143" s="381">
        <f t="shared" si="49"/>
        <v>0</v>
      </c>
      <c r="J143" s="54">
        <f t="shared" si="50"/>
        <v>0</v>
      </c>
      <c r="K143" s="54"/>
      <c r="L143" s="115"/>
      <c r="M143" s="54">
        <f t="shared" si="51"/>
        <v>0</v>
      </c>
      <c r="N143" s="115"/>
      <c r="O143" s="54">
        <f t="shared" si="52"/>
        <v>0</v>
      </c>
      <c r="P143" s="54">
        <f t="shared" si="53"/>
        <v>0</v>
      </c>
    </row>
    <row r="144" spans="2:16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54">
        <f t="shared" si="45"/>
        <v>0</v>
      </c>
      <c r="F144" s="55">
        <f t="shared" si="46"/>
        <v>0</v>
      </c>
      <c r="G144" s="55">
        <f t="shared" si="47"/>
        <v>0</v>
      </c>
      <c r="H144" s="355">
        <f t="shared" si="48"/>
        <v>0</v>
      </c>
      <c r="I144" s="381">
        <f t="shared" si="49"/>
        <v>0</v>
      </c>
      <c r="J144" s="54">
        <f t="shared" si="50"/>
        <v>0</v>
      </c>
      <c r="K144" s="54"/>
      <c r="L144" s="115"/>
      <c r="M144" s="54">
        <f t="shared" si="51"/>
        <v>0</v>
      </c>
      <c r="N144" s="115"/>
      <c r="O144" s="54">
        <f t="shared" si="52"/>
        <v>0</v>
      </c>
      <c r="P144" s="54">
        <f t="shared" si="53"/>
        <v>0</v>
      </c>
    </row>
    <row r="145" spans="2:16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54">
        <f t="shared" si="45"/>
        <v>0</v>
      </c>
      <c r="F145" s="55">
        <f t="shared" si="46"/>
        <v>0</v>
      </c>
      <c r="G145" s="55">
        <f t="shared" si="47"/>
        <v>0</v>
      </c>
      <c r="H145" s="355">
        <f t="shared" si="48"/>
        <v>0</v>
      </c>
      <c r="I145" s="381">
        <f t="shared" si="49"/>
        <v>0</v>
      </c>
      <c r="J145" s="54">
        <f t="shared" si="50"/>
        <v>0</v>
      </c>
      <c r="K145" s="54"/>
      <c r="L145" s="115"/>
      <c r="M145" s="54">
        <f t="shared" si="51"/>
        <v>0</v>
      </c>
      <c r="N145" s="115"/>
      <c r="O145" s="54">
        <f t="shared" si="52"/>
        <v>0</v>
      </c>
      <c r="P145" s="54">
        <f t="shared" si="53"/>
        <v>0</v>
      </c>
    </row>
    <row r="146" spans="2:16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54">
        <f t="shared" si="45"/>
        <v>0</v>
      </c>
      <c r="F146" s="55">
        <f t="shared" si="46"/>
        <v>0</v>
      </c>
      <c r="G146" s="55">
        <f t="shared" si="47"/>
        <v>0</v>
      </c>
      <c r="H146" s="355">
        <f t="shared" si="48"/>
        <v>0</v>
      </c>
      <c r="I146" s="381">
        <f t="shared" si="49"/>
        <v>0</v>
      </c>
      <c r="J146" s="54">
        <f t="shared" si="50"/>
        <v>0</v>
      </c>
      <c r="K146" s="54"/>
      <c r="L146" s="115"/>
      <c r="M146" s="54">
        <f t="shared" si="51"/>
        <v>0</v>
      </c>
      <c r="N146" s="115"/>
      <c r="O146" s="54">
        <f t="shared" si="52"/>
        <v>0</v>
      </c>
      <c r="P146" s="54">
        <f t="shared" si="53"/>
        <v>0</v>
      </c>
    </row>
    <row r="147" spans="2:16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54">
        <f t="shared" si="45"/>
        <v>0</v>
      </c>
      <c r="F147" s="55">
        <f t="shared" si="46"/>
        <v>0</v>
      </c>
      <c r="G147" s="55">
        <f t="shared" si="47"/>
        <v>0</v>
      </c>
      <c r="H147" s="355">
        <f t="shared" si="48"/>
        <v>0</v>
      </c>
      <c r="I147" s="381">
        <f t="shared" si="49"/>
        <v>0</v>
      </c>
      <c r="J147" s="54">
        <f t="shared" si="50"/>
        <v>0</v>
      </c>
      <c r="K147" s="54"/>
      <c r="L147" s="115"/>
      <c r="M147" s="54">
        <f t="shared" si="51"/>
        <v>0</v>
      </c>
      <c r="N147" s="115"/>
      <c r="O147" s="54">
        <f t="shared" si="52"/>
        <v>0</v>
      </c>
      <c r="P147" s="54">
        <f t="shared" si="53"/>
        <v>0</v>
      </c>
    </row>
    <row r="148" spans="2:16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54">
        <f t="shared" si="45"/>
        <v>0</v>
      </c>
      <c r="F148" s="55">
        <f t="shared" si="46"/>
        <v>0</v>
      </c>
      <c r="G148" s="55">
        <f t="shared" si="47"/>
        <v>0</v>
      </c>
      <c r="H148" s="355">
        <f t="shared" si="48"/>
        <v>0</v>
      </c>
      <c r="I148" s="381">
        <f t="shared" si="49"/>
        <v>0</v>
      </c>
      <c r="J148" s="54">
        <f t="shared" si="50"/>
        <v>0</v>
      </c>
      <c r="K148" s="54"/>
      <c r="L148" s="115"/>
      <c r="M148" s="54">
        <f t="shared" si="51"/>
        <v>0</v>
      </c>
      <c r="N148" s="115"/>
      <c r="O148" s="54">
        <f t="shared" si="52"/>
        <v>0</v>
      </c>
      <c r="P148" s="54">
        <f t="shared" si="53"/>
        <v>0</v>
      </c>
    </row>
    <row r="149" spans="2:16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54">
        <f t="shared" si="45"/>
        <v>0</v>
      </c>
      <c r="F149" s="55">
        <f t="shared" si="46"/>
        <v>0</v>
      </c>
      <c r="G149" s="55">
        <f t="shared" si="47"/>
        <v>0</v>
      </c>
      <c r="H149" s="355">
        <f t="shared" si="48"/>
        <v>0</v>
      </c>
      <c r="I149" s="381">
        <f t="shared" si="49"/>
        <v>0</v>
      </c>
      <c r="J149" s="54">
        <f t="shared" si="50"/>
        <v>0</v>
      </c>
      <c r="K149" s="54"/>
      <c r="L149" s="115"/>
      <c r="M149" s="54">
        <f t="shared" si="51"/>
        <v>0</v>
      </c>
      <c r="N149" s="115"/>
      <c r="O149" s="54">
        <f t="shared" si="52"/>
        <v>0</v>
      </c>
      <c r="P149" s="54">
        <f t="shared" si="53"/>
        <v>0</v>
      </c>
    </row>
    <row r="150" spans="2:16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54">
        <f t="shared" si="45"/>
        <v>0</v>
      </c>
      <c r="F150" s="55">
        <f t="shared" si="46"/>
        <v>0</v>
      </c>
      <c r="G150" s="55">
        <f t="shared" si="47"/>
        <v>0</v>
      </c>
      <c r="H150" s="355">
        <f t="shared" si="48"/>
        <v>0</v>
      </c>
      <c r="I150" s="381">
        <f t="shared" si="49"/>
        <v>0</v>
      </c>
      <c r="J150" s="54">
        <f t="shared" si="50"/>
        <v>0</v>
      </c>
      <c r="K150" s="54"/>
      <c r="L150" s="115"/>
      <c r="M150" s="54">
        <f t="shared" si="51"/>
        <v>0</v>
      </c>
      <c r="N150" s="115"/>
      <c r="O150" s="54">
        <f t="shared" si="52"/>
        <v>0</v>
      </c>
      <c r="P150" s="54">
        <f t="shared" si="53"/>
        <v>0</v>
      </c>
    </row>
    <row r="151" spans="2:16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54">
        <f t="shared" si="45"/>
        <v>0</v>
      </c>
      <c r="F151" s="55">
        <f t="shared" si="46"/>
        <v>0</v>
      </c>
      <c r="G151" s="55">
        <f t="shared" si="47"/>
        <v>0</v>
      </c>
      <c r="H151" s="355">
        <f t="shared" si="48"/>
        <v>0</v>
      </c>
      <c r="I151" s="381">
        <f t="shared" si="49"/>
        <v>0</v>
      </c>
      <c r="J151" s="54">
        <f t="shared" si="50"/>
        <v>0</v>
      </c>
      <c r="K151" s="54"/>
      <c r="L151" s="115"/>
      <c r="M151" s="54">
        <f t="shared" si="51"/>
        <v>0</v>
      </c>
      <c r="N151" s="115"/>
      <c r="O151" s="54">
        <f t="shared" si="52"/>
        <v>0</v>
      </c>
      <c r="P151" s="54">
        <f t="shared" si="53"/>
        <v>0</v>
      </c>
    </row>
    <row r="152" spans="2:16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54">
        <f t="shared" si="45"/>
        <v>0</v>
      </c>
      <c r="F152" s="55">
        <f t="shared" si="46"/>
        <v>0</v>
      </c>
      <c r="G152" s="55">
        <f t="shared" si="47"/>
        <v>0</v>
      </c>
      <c r="H152" s="355">
        <f t="shared" si="48"/>
        <v>0</v>
      </c>
      <c r="I152" s="381">
        <f t="shared" si="49"/>
        <v>0</v>
      </c>
      <c r="J152" s="54">
        <f t="shared" si="50"/>
        <v>0</v>
      </c>
      <c r="K152" s="54"/>
      <c r="L152" s="115"/>
      <c r="M152" s="54">
        <f t="shared" si="51"/>
        <v>0</v>
      </c>
      <c r="N152" s="115"/>
      <c r="O152" s="54">
        <f t="shared" si="52"/>
        <v>0</v>
      </c>
      <c r="P152" s="54">
        <f t="shared" si="53"/>
        <v>0</v>
      </c>
    </row>
    <row r="153" spans="2:16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54">
        <f t="shared" si="45"/>
        <v>0</v>
      </c>
      <c r="F153" s="55">
        <f t="shared" si="46"/>
        <v>0</v>
      </c>
      <c r="G153" s="55">
        <f t="shared" si="47"/>
        <v>0</v>
      </c>
      <c r="H153" s="355">
        <f t="shared" si="48"/>
        <v>0</v>
      </c>
      <c r="I153" s="381">
        <f t="shared" si="49"/>
        <v>0</v>
      </c>
      <c r="J153" s="54">
        <f t="shared" si="50"/>
        <v>0</v>
      </c>
      <c r="K153" s="54"/>
      <c r="L153" s="115"/>
      <c r="M153" s="54">
        <f t="shared" si="51"/>
        <v>0</v>
      </c>
      <c r="N153" s="115"/>
      <c r="O153" s="54">
        <f t="shared" si="52"/>
        <v>0</v>
      </c>
      <c r="P153" s="54">
        <f t="shared" si="53"/>
        <v>0</v>
      </c>
    </row>
    <row r="154" spans="2:16" ht="13.5" thickBot="1">
      <c r="B154" s="7" t="str">
        <f t="shared" si="35"/>
        <v/>
      </c>
      <c r="C154" s="58">
        <f>IF(D93="","-",+C153+1)</f>
        <v>2072</v>
      </c>
      <c r="D154" s="82">
        <f>IF(F153+SUM(E$99:E153)=D$92,F153,D$92-SUM(E$99:E153))</f>
        <v>0</v>
      </c>
      <c r="E154" s="357">
        <f t="shared" si="45"/>
        <v>0</v>
      </c>
      <c r="F154" s="59">
        <f t="shared" si="46"/>
        <v>0</v>
      </c>
      <c r="G154" s="59">
        <f t="shared" si="47"/>
        <v>0</v>
      </c>
      <c r="H154" s="435">
        <f t="shared" ref="H154" si="54">+J$94*G154+E154</f>
        <v>0</v>
      </c>
      <c r="I154" s="436">
        <f t="shared" ref="I154" si="55">+J$95*G154+E154</f>
        <v>0</v>
      </c>
      <c r="J154" s="62">
        <f t="shared" si="50"/>
        <v>0</v>
      </c>
      <c r="K154" s="54"/>
      <c r="L154" s="116"/>
      <c r="M154" s="62">
        <f t="shared" si="51"/>
        <v>0</v>
      </c>
      <c r="N154" s="116"/>
      <c r="O154" s="62">
        <f t="shared" si="52"/>
        <v>0</v>
      </c>
      <c r="P154" s="62">
        <f t="shared" si="53"/>
        <v>0</v>
      </c>
    </row>
    <row r="155" spans="2:16">
      <c r="C155" s="12" t="s">
        <v>77</v>
      </c>
      <c r="D155" s="266"/>
      <c r="E155" s="266">
        <f>SUM(E99:E154)</f>
        <v>1338977.9100000004</v>
      </c>
      <c r="F155" s="266"/>
      <c r="G155" s="266"/>
      <c r="H155" s="266">
        <f>SUM(H99:H154)</f>
        <v>4315637.4551719334</v>
      </c>
      <c r="I155" s="266">
        <f>SUM(I99:I154)</f>
        <v>4315637.4551719334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7" priority="1" stopIfTrue="1" operator="equal">
      <formula>$I$10</formula>
    </cfRule>
  </conditionalFormatting>
  <conditionalFormatting sqref="C99:C154">
    <cfRule type="cellIs" dxfId="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/>
  <dimension ref="A1:P162"/>
  <sheetViews>
    <sheetView topLeftCell="A85" zoomScaleNormal="100" zoomScaleSheetLayoutView="78" workbookViewId="0">
      <selection activeCell="I18" sqref="I18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20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239794.26173878013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239794.26173878013</v>
      </c>
      <c r="O6" s="1"/>
      <c r="P6" s="1"/>
    </row>
    <row r="7" spans="1:16" ht="13.5" thickBot="1">
      <c r="C7" s="26" t="s">
        <v>46</v>
      </c>
      <c r="D7" s="88" t="s">
        <v>277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293</v>
      </c>
      <c r="E9" s="404" t="s">
        <v>294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1961220.7100000002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51611.071315789479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v>2017</v>
      </c>
      <c r="D17" s="411">
        <v>0</v>
      </c>
      <c r="E17" s="432">
        <v>0</v>
      </c>
      <c r="F17" s="411">
        <v>483000</v>
      </c>
      <c r="G17" s="432">
        <v>30733</v>
      </c>
      <c r="H17" s="414">
        <v>30733</v>
      </c>
      <c r="I17" s="52">
        <f t="shared" ref="I17:I72" si="0">H17-G17</f>
        <v>0</v>
      </c>
      <c r="J17" s="52"/>
      <c r="K17" s="53">
        <f t="shared" ref="K17:K22" si="1">+G17</f>
        <v>30733</v>
      </c>
      <c r="L17" s="53">
        <f t="shared" ref="L17:L72" si="2">IF(K17&lt;&gt;0,+G17-K17,0)</f>
        <v>0</v>
      </c>
      <c r="M17" s="53">
        <f t="shared" ref="M17:M22" si="3">+H17</f>
        <v>30733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2018</v>
      </c>
      <c r="D18" s="411">
        <v>483000</v>
      </c>
      <c r="E18" s="412">
        <v>10555.555555555555</v>
      </c>
      <c r="F18" s="411">
        <v>1140000</v>
      </c>
      <c r="G18" s="412">
        <v>78818.151758984837</v>
      </c>
      <c r="H18" s="414">
        <v>78818.151758984837</v>
      </c>
      <c r="I18" s="52">
        <f t="shared" si="0"/>
        <v>0</v>
      </c>
      <c r="J18" s="52"/>
      <c r="K18" s="54">
        <f t="shared" si="1"/>
        <v>78818.151758984837</v>
      </c>
      <c r="L18" s="54">
        <f t="shared" si="2"/>
        <v>0</v>
      </c>
      <c r="M18" s="54">
        <f t="shared" si="3"/>
        <v>78818.151758984837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>IU</v>
      </c>
      <c r="C19" s="50">
        <f>IF(D11="","-",+C18+1)</f>
        <v>2019</v>
      </c>
      <c r="D19" s="411">
        <v>1129444.4444444445</v>
      </c>
      <c r="E19" s="412">
        <v>28500</v>
      </c>
      <c r="F19" s="411">
        <v>1100944.4444444445</v>
      </c>
      <c r="G19" s="412">
        <v>153018.85490841107</v>
      </c>
      <c r="H19" s="414">
        <v>153018.85490841107</v>
      </c>
      <c r="I19" s="52">
        <f t="shared" si="0"/>
        <v>0</v>
      </c>
      <c r="J19" s="52"/>
      <c r="K19" s="54">
        <f t="shared" si="1"/>
        <v>153018.85490841107</v>
      </c>
      <c r="L19" s="54">
        <f t="shared" ref="L19" si="6">IF(K19&lt;&gt;0,+G19-K19,0)</f>
        <v>0</v>
      </c>
      <c r="M19" s="54">
        <f t="shared" si="3"/>
        <v>153018.85490841107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2020</v>
      </c>
      <c r="D20" s="411">
        <v>1883840.111111111</v>
      </c>
      <c r="E20" s="412">
        <v>45707.833333333336</v>
      </c>
      <c r="F20" s="411">
        <v>1838132.2777777778</v>
      </c>
      <c r="G20" s="412">
        <v>246703.23209680832</v>
      </c>
      <c r="H20" s="414">
        <v>246703.23209680832</v>
      </c>
      <c r="I20" s="52">
        <f t="shared" si="0"/>
        <v>0</v>
      </c>
      <c r="J20" s="52"/>
      <c r="K20" s="54">
        <f t="shared" si="1"/>
        <v>246703.23209680832</v>
      </c>
      <c r="L20" s="54">
        <f t="shared" ref="L20" si="8">IF(K20&lt;&gt;0,+G20-K20,0)</f>
        <v>0</v>
      </c>
      <c r="M20" s="54">
        <f t="shared" si="3"/>
        <v>246703.23209680832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2021</v>
      </c>
      <c r="D21" s="411">
        <v>1876457.611111111</v>
      </c>
      <c r="E21" s="412">
        <v>45609.79069767442</v>
      </c>
      <c r="F21" s="411">
        <v>1830847.8204134365</v>
      </c>
      <c r="G21" s="412">
        <v>245473.68855677257</v>
      </c>
      <c r="H21" s="414">
        <v>245473.68855677257</v>
      </c>
      <c r="I21" s="52">
        <f t="shared" si="0"/>
        <v>0</v>
      </c>
      <c r="J21" s="52"/>
      <c r="K21" s="54">
        <f t="shared" si="1"/>
        <v>245473.68855677257</v>
      </c>
      <c r="L21" s="54">
        <f t="shared" ref="L21" si="9">IF(K21&lt;&gt;0,+G21-K21,0)</f>
        <v>0</v>
      </c>
      <c r="M21" s="54">
        <f t="shared" si="3"/>
        <v>245473.68855677257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/>
      </c>
      <c r="C22" s="50">
        <f>IF(D11="","-",+C21+1)</f>
        <v>2022</v>
      </c>
      <c r="D22" s="411">
        <v>1830847.8204134365</v>
      </c>
      <c r="E22" s="412">
        <v>46695.738095238092</v>
      </c>
      <c r="F22" s="411">
        <v>1784152.0823181984</v>
      </c>
      <c r="G22" s="412">
        <v>241564.55964853393</v>
      </c>
      <c r="H22" s="414">
        <v>241564.55964853393</v>
      </c>
      <c r="I22" s="52">
        <f t="shared" si="0"/>
        <v>0</v>
      </c>
      <c r="J22" s="52"/>
      <c r="K22" s="54">
        <f t="shared" si="1"/>
        <v>241564.55964853393</v>
      </c>
      <c r="L22" s="54">
        <f t="shared" ref="L22" si="10">IF(K22&lt;&gt;0,+G22-K22,0)</f>
        <v>0</v>
      </c>
      <c r="M22" s="54">
        <f t="shared" si="3"/>
        <v>241564.55964853393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2023</v>
      </c>
      <c r="D23" s="411">
        <v>1784151.7923181988</v>
      </c>
      <c r="E23" s="412">
        <v>50287.710512820515</v>
      </c>
      <c r="F23" s="411">
        <v>1733864.0818053782</v>
      </c>
      <c r="G23" s="412">
        <v>260241.05207749119</v>
      </c>
      <c r="H23" s="414">
        <v>260241.05207749119</v>
      </c>
      <c r="I23" s="52">
        <f t="shared" si="0"/>
        <v>0</v>
      </c>
      <c r="J23" s="52"/>
      <c r="K23" s="54">
        <f t="shared" ref="K23" si="11">+G23</f>
        <v>260241.05207749119</v>
      </c>
      <c r="L23" s="54">
        <f t="shared" ref="L23" si="12">IF(K23&lt;&gt;0,+G23-K23,0)</f>
        <v>0</v>
      </c>
      <c r="M23" s="54">
        <f t="shared" ref="M23" si="13">+H23</f>
        <v>260241.05207749119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/>
      </c>
      <c r="C24" s="50">
        <f>IF(D11="","-",+C23+1)</f>
        <v>2024</v>
      </c>
      <c r="D24" s="411">
        <v>1733864.0818053782</v>
      </c>
      <c r="E24" s="412">
        <v>51611.071315789479</v>
      </c>
      <c r="F24" s="411">
        <v>1682253.0104895886</v>
      </c>
      <c r="G24" s="412">
        <v>245885.97075152432</v>
      </c>
      <c r="H24" s="414">
        <v>245885.97075152432</v>
      </c>
      <c r="I24" s="52">
        <f t="shared" si="0"/>
        <v>0</v>
      </c>
      <c r="J24" s="52"/>
      <c r="K24" s="54">
        <f t="shared" ref="K24" si="14">+G24</f>
        <v>245885.97075152432</v>
      </c>
      <c r="L24" s="54">
        <f t="shared" ref="L24" si="15">IF(K24&lt;&gt;0,+G24-K24,0)</f>
        <v>0</v>
      </c>
      <c r="M24" s="54">
        <f t="shared" ref="M24" si="16">+H24</f>
        <v>245885.97075152432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>
      <c r="B25" s="7" t="str">
        <f t="shared" si="7"/>
        <v/>
      </c>
      <c r="C25" s="50">
        <f>IF(D11="","-",+C24+1)</f>
        <v>2025</v>
      </c>
      <c r="D25" s="411">
        <v>1682253.0104895886</v>
      </c>
      <c r="E25" s="412">
        <v>51611.071315789479</v>
      </c>
      <c r="F25" s="411">
        <v>1630641.939173799</v>
      </c>
      <c r="G25" s="412">
        <v>239794.26173878013</v>
      </c>
      <c r="H25" s="414">
        <v>239794.26173878013</v>
      </c>
      <c r="I25" s="52">
        <f t="shared" si="0"/>
        <v>0</v>
      </c>
      <c r="J25" s="52"/>
      <c r="K25" s="54">
        <f t="shared" ref="K25" si="19">+G25</f>
        <v>239794.26173878013</v>
      </c>
      <c r="L25" s="54">
        <f t="shared" ref="L25" si="20">IF(K25&lt;&gt;0,+G25-K25,0)</f>
        <v>0</v>
      </c>
      <c r="M25" s="54">
        <f t="shared" ref="M25" si="21">+H25</f>
        <v>239794.26173878013</v>
      </c>
      <c r="N25" s="54">
        <f t="shared" ref="N25" si="22">IF(M25&lt;&gt;0,+H25-M25,0)</f>
        <v>0</v>
      </c>
      <c r="O25" s="54">
        <f t="shared" ref="O25" si="23">+N25-L25</f>
        <v>0</v>
      </c>
      <c r="P25" s="1"/>
    </row>
    <row r="26" spans="2:16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1630641.939173799</v>
      </c>
      <c r="E26" s="354">
        <f t="shared" ref="E26:E72" si="24">IF(+I$14&lt;F25,I$14,D26)</f>
        <v>51611.071315789479</v>
      </c>
      <c r="F26" s="55">
        <f t="shared" ref="F26:F72" si="25">+D26-E26</f>
        <v>1579030.8678580094</v>
      </c>
      <c r="G26" s="355">
        <f t="shared" ref="G26:G72" si="26">(D26+F26)/2*I$12+E26</f>
        <v>233930.90886528161</v>
      </c>
      <c r="H26" s="336">
        <f t="shared" ref="H26:H72" si="27">+(D26+F26)/2*I$13+E26</f>
        <v>233930.90886528161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1579030.8678580094</v>
      </c>
      <c r="E27" s="354">
        <f t="shared" si="24"/>
        <v>51611.071315789479</v>
      </c>
      <c r="F27" s="55">
        <f t="shared" si="25"/>
        <v>1527419.7965422198</v>
      </c>
      <c r="G27" s="355">
        <f t="shared" si="26"/>
        <v>228067.5559917831</v>
      </c>
      <c r="H27" s="336">
        <f t="shared" si="27"/>
        <v>228067.5559917831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1527419.7965422198</v>
      </c>
      <c r="E28" s="354">
        <f t="shared" si="24"/>
        <v>51611.071315789479</v>
      </c>
      <c r="F28" s="55">
        <f t="shared" si="25"/>
        <v>1475808.7252264302</v>
      </c>
      <c r="G28" s="355">
        <f t="shared" si="26"/>
        <v>222204.20311828458</v>
      </c>
      <c r="H28" s="336">
        <f t="shared" si="27"/>
        <v>222204.20311828458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1475808.7252264302</v>
      </c>
      <c r="E29" s="354">
        <f t="shared" si="24"/>
        <v>51611.071315789479</v>
      </c>
      <c r="F29" s="55">
        <f t="shared" si="25"/>
        <v>1424197.6539106406</v>
      </c>
      <c r="G29" s="355">
        <f t="shared" si="26"/>
        <v>216340.85024478604</v>
      </c>
      <c r="H29" s="336">
        <f t="shared" si="27"/>
        <v>216340.85024478604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1424197.6539106406</v>
      </c>
      <c r="E30" s="354">
        <f t="shared" si="24"/>
        <v>51611.071315789479</v>
      </c>
      <c r="F30" s="55">
        <f t="shared" si="25"/>
        <v>1372586.582594851</v>
      </c>
      <c r="G30" s="355">
        <f t="shared" si="26"/>
        <v>210477.49737128752</v>
      </c>
      <c r="H30" s="336">
        <f t="shared" si="27"/>
        <v>210477.49737128752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1372586.582594851</v>
      </c>
      <c r="E31" s="354">
        <f t="shared" si="24"/>
        <v>51611.071315789479</v>
      </c>
      <c r="F31" s="55">
        <f t="shared" si="25"/>
        <v>1320975.5112790614</v>
      </c>
      <c r="G31" s="355">
        <f t="shared" si="26"/>
        <v>204614.14449778901</v>
      </c>
      <c r="H31" s="336">
        <f t="shared" si="27"/>
        <v>204614.14449778901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1320975.5112790614</v>
      </c>
      <c r="E32" s="354">
        <f t="shared" si="24"/>
        <v>51611.071315789479</v>
      </c>
      <c r="F32" s="55">
        <f t="shared" si="25"/>
        <v>1269364.4399632718</v>
      </c>
      <c r="G32" s="355">
        <f t="shared" si="26"/>
        <v>198750.79162429049</v>
      </c>
      <c r="H32" s="336">
        <f t="shared" si="27"/>
        <v>198750.79162429049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1269364.4399632718</v>
      </c>
      <c r="E33" s="354">
        <f t="shared" si="24"/>
        <v>51611.071315789479</v>
      </c>
      <c r="F33" s="55">
        <f t="shared" si="25"/>
        <v>1217753.3686474822</v>
      </c>
      <c r="G33" s="355">
        <f t="shared" si="26"/>
        <v>192887.43875079195</v>
      </c>
      <c r="H33" s="336">
        <f t="shared" si="27"/>
        <v>192887.43875079195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1217753.3686474822</v>
      </c>
      <c r="E34" s="354">
        <f t="shared" si="24"/>
        <v>51611.071315789479</v>
      </c>
      <c r="F34" s="55">
        <f t="shared" si="25"/>
        <v>1166142.2973316927</v>
      </c>
      <c r="G34" s="355">
        <f t="shared" si="26"/>
        <v>187024.08587729343</v>
      </c>
      <c r="H34" s="336">
        <f t="shared" si="27"/>
        <v>187024.08587729343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1166142.2973316927</v>
      </c>
      <c r="E35" s="354">
        <f t="shared" si="24"/>
        <v>51611.071315789479</v>
      </c>
      <c r="F35" s="55">
        <f t="shared" si="25"/>
        <v>1114531.2260159031</v>
      </c>
      <c r="G35" s="355">
        <f t="shared" si="26"/>
        <v>181160.73300379491</v>
      </c>
      <c r="H35" s="336">
        <f t="shared" si="27"/>
        <v>181160.73300379491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1114531.2260159031</v>
      </c>
      <c r="E36" s="354">
        <f t="shared" si="24"/>
        <v>51611.071315789479</v>
      </c>
      <c r="F36" s="55">
        <f t="shared" si="25"/>
        <v>1062920.1547001135</v>
      </c>
      <c r="G36" s="355">
        <f t="shared" si="26"/>
        <v>175297.3801302964</v>
      </c>
      <c r="H36" s="336">
        <f t="shared" si="27"/>
        <v>175297.3801302964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1062920.1547001135</v>
      </c>
      <c r="E37" s="354">
        <f t="shared" si="24"/>
        <v>51611.071315789479</v>
      </c>
      <c r="F37" s="55">
        <f t="shared" si="25"/>
        <v>1011309.083384324</v>
      </c>
      <c r="G37" s="355">
        <f t="shared" si="26"/>
        <v>169434.02725679788</v>
      </c>
      <c r="H37" s="336">
        <f t="shared" si="27"/>
        <v>169434.02725679788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1011309.083384324</v>
      </c>
      <c r="E38" s="354">
        <f t="shared" si="24"/>
        <v>51611.071315789479</v>
      </c>
      <c r="F38" s="55">
        <f t="shared" si="25"/>
        <v>959698.0120685345</v>
      </c>
      <c r="G38" s="355">
        <f t="shared" si="26"/>
        <v>163570.67438329937</v>
      </c>
      <c r="H38" s="336">
        <f t="shared" si="27"/>
        <v>163570.67438329937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959698.0120685345</v>
      </c>
      <c r="E39" s="354">
        <f t="shared" si="24"/>
        <v>51611.071315789479</v>
      </c>
      <c r="F39" s="55">
        <f t="shared" si="25"/>
        <v>908086.94075274502</v>
      </c>
      <c r="G39" s="355">
        <f t="shared" si="26"/>
        <v>157707.32150980085</v>
      </c>
      <c r="H39" s="336">
        <f t="shared" si="27"/>
        <v>157707.32150980085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908086.94075274502</v>
      </c>
      <c r="E40" s="354">
        <f t="shared" si="24"/>
        <v>51611.071315789479</v>
      </c>
      <c r="F40" s="55">
        <f t="shared" si="25"/>
        <v>856475.86943695555</v>
      </c>
      <c r="G40" s="355">
        <f t="shared" si="26"/>
        <v>151843.96863630234</v>
      </c>
      <c r="H40" s="336">
        <f t="shared" si="27"/>
        <v>151843.96863630234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856475.86943695555</v>
      </c>
      <c r="E41" s="354">
        <f t="shared" si="24"/>
        <v>51611.071315789479</v>
      </c>
      <c r="F41" s="55">
        <f t="shared" si="25"/>
        <v>804864.79812116607</v>
      </c>
      <c r="G41" s="355">
        <f t="shared" si="26"/>
        <v>145980.61576280382</v>
      </c>
      <c r="H41" s="336">
        <f t="shared" si="27"/>
        <v>145980.61576280382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804864.79812116607</v>
      </c>
      <c r="E42" s="354">
        <f t="shared" si="24"/>
        <v>51611.071315789479</v>
      </c>
      <c r="F42" s="55">
        <f t="shared" si="25"/>
        <v>753253.72680537659</v>
      </c>
      <c r="G42" s="355">
        <f t="shared" si="26"/>
        <v>140117.2628893053</v>
      </c>
      <c r="H42" s="336">
        <f t="shared" si="27"/>
        <v>140117.2628893053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753253.72680537659</v>
      </c>
      <c r="E43" s="354">
        <f t="shared" si="24"/>
        <v>51611.071315789479</v>
      </c>
      <c r="F43" s="55">
        <f t="shared" si="25"/>
        <v>701642.65548958711</v>
      </c>
      <c r="G43" s="355">
        <f t="shared" si="26"/>
        <v>134253.91001580679</v>
      </c>
      <c r="H43" s="336">
        <f t="shared" si="27"/>
        <v>134253.91001580679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701642.65548958711</v>
      </c>
      <c r="E44" s="354">
        <f t="shared" si="24"/>
        <v>51611.071315789479</v>
      </c>
      <c r="F44" s="55">
        <f t="shared" si="25"/>
        <v>650031.58417379763</v>
      </c>
      <c r="G44" s="355">
        <f t="shared" si="26"/>
        <v>128390.5571423083</v>
      </c>
      <c r="H44" s="336">
        <f t="shared" si="27"/>
        <v>128390.5571423083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650031.58417379763</v>
      </c>
      <c r="E45" s="354">
        <f t="shared" si="24"/>
        <v>51611.071315789479</v>
      </c>
      <c r="F45" s="55">
        <f t="shared" si="25"/>
        <v>598420.51285800815</v>
      </c>
      <c r="G45" s="355">
        <f t="shared" si="26"/>
        <v>122527.20426880979</v>
      </c>
      <c r="H45" s="336">
        <f t="shared" si="27"/>
        <v>122527.20426880979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598420.51285800815</v>
      </c>
      <c r="E46" s="354">
        <f t="shared" si="24"/>
        <v>51611.071315789479</v>
      </c>
      <c r="F46" s="55">
        <f t="shared" si="25"/>
        <v>546809.44154221867</v>
      </c>
      <c r="G46" s="355">
        <f t="shared" si="26"/>
        <v>116663.85139531129</v>
      </c>
      <c r="H46" s="336">
        <f t="shared" si="27"/>
        <v>116663.85139531129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546809.44154221867</v>
      </c>
      <c r="E47" s="354">
        <f t="shared" si="24"/>
        <v>51611.071315789479</v>
      </c>
      <c r="F47" s="55">
        <f t="shared" si="25"/>
        <v>495198.37022642919</v>
      </c>
      <c r="G47" s="355">
        <f t="shared" si="26"/>
        <v>110800.49852181277</v>
      </c>
      <c r="H47" s="336">
        <f t="shared" si="27"/>
        <v>110800.49852181277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495198.37022642919</v>
      </c>
      <c r="E48" s="354">
        <f t="shared" si="24"/>
        <v>51611.071315789479</v>
      </c>
      <c r="F48" s="55">
        <f t="shared" si="25"/>
        <v>443587.29891063971</v>
      </c>
      <c r="G48" s="355">
        <f t="shared" si="26"/>
        <v>104937.14564831427</v>
      </c>
      <c r="H48" s="336">
        <f t="shared" si="27"/>
        <v>104937.14564831427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443587.29891063971</v>
      </c>
      <c r="E49" s="354">
        <f t="shared" si="24"/>
        <v>51611.071315789479</v>
      </c>
      <c r="F49" s="55">
        <f t="shared" si="25"/>
        <v>391976.22759485024</v>
      </c>
      <c r="G49" s="355">
        <f t="shared" si="26"/>
        <v>99073.792774815753</v>
      </c>
      <c r="H49" s="336">
        <f t="shared" si="27"/>
        <v>99073.792774815753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391976.22759485024</v>
      </c>
      <c r="E50" s="354">
        <f t="shared" si="24"/>
        <v>51611.071315789479</v>
      </c>
      <c r="F50" s="55">
        <f t="shared" si="25"/>
        <v>340365.15627906076</v>
      </c>
      <c r="G50" s="355">
        <f t="shared" si="26"/>
        <v>93210.439901317237</v>
      </c>
      <c r="H50" s="336">
        <f t="shared" si="27"/>
        <v>93210.439901317237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340365.15627906076</v>
      </c>
      <c r="E51" s="354">
        <f t="shared" si="24"/>
        <v>51611.071315789479</v>
      </c>
      <c r="F51" s="55">
        <f t="shared" si="25"/>
        <v>288754.08496327128</v>
      </c>
      <c r="G51" s="355">
        <f t="shared" si="26"/>
        <v>87347.087027818721</v>
      </c>
      <c r="H51" s="336">
        <f t="shared" si="27"/>
        <v>87347.087027818721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288754.08496327128</v>
      </c>
      <c r="E52" s="354">
        <f t="shared" si="24"/>
        <v>51611.071315789479</v>
      </c>
      <c r="F52" s="55">
        <f t="shared" si="25"/>
        <v>237143.0136474818</v>
      </c>
      <c r="G52" s="355">
        <f t="shared" si="26"/>
        <v>81483.73415432022</v>
      </c>
      <c r="H52" s="336">
        <f t="shared" si="27"/>
        <v>81483.73415432022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237143.0136474818</v>
      </c>
      <c r="E53" s="354">
        <f t="shared" si="24"/>
        <v>51611.071315789479</v>
      </c>
      <c r="F53" s="55">
        <f t="shared" si="25"/>
        <v>185531.94233169232</v>
      </c>
      <c r="G53" s="355">
        <f t="shared" si="26"/>
        <v>75620.381280821704</v>
      </c>
      <c r="H53" s="336">
        <f t="shared" si="27"/>
        <v>75620.381280821704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185531.94233169232</v>
      </c>
      <c r="E54" s="354">
        <f t="shared" si="24"/>
        <v>51611.071315789479</v>
      </c>
      <c r="F54" s="55">
        <f t="shared" si="25"/>
        <v>133920.87101590284</v>
      </c>
      <c r="G54" s="355">
        <f t="shared" si="26"/>
        <v>69757.028407323203</v>
      </c>
      <c r="H54" s="336">
        <f t="shared" si="27"/>
        <v>69757.028407323203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133920.87101590284</v>
      </c>
      <c r="E55" s="354">
        <f t="shared" si="24"/>
        <v>51611.071315789479</v>
      </c>
      <c r="F55" s="55">
        <f t="shared" si="25"/>
        <v>82309.799700113363</v>
      </c>
      <c r="G55" s="355">
        <f t="shared" si="26"/>
        <v>63893.675533824688</v>
      </c>
      <c r="H55" s="336">
        <f t="shared" si="27"/>
        <v>63893.675533824688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82309.799700113363</v>
      </c>
      <c r="E56" s="354">
        <f t="shared" si="24"/>
        <v>51611.071315789479</v>
      </c>
      <c r="F56" s="55">
        <f t="shared" si="25"/>
        <v>30698.728384323884</v>
      </c>
      <c r="G56" s="355">
        <f t="shared" si="26"/>
        <v>58030.322660326179</v>
      </c>
      <c r="H56" s="336">
        <f t="shared" si="27"/>
        <v>58030.322660326179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30698.728384323884</v>
      </c>
      <c r="E57" s="354">
        <f t="shared" si="24"/>
        <v>30698.728384323884</v>
      </c>
      <c r="F57" s="55">
        <f t="shared" si="25"/>
        <v>0</v>
      </c>
      <c r="G57" s="355">
        <f t="shared" si="26"/>
        <v>32442.515838217605</v>
      </c>
      <c r="H57" s="336">
        <f t="shared" si="27"/>
        <v>32442.515838217605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0</v>
      </c>
      <c r="E58" s="354">
        <f t="shared" si="24"/>
        <v>0</v>
      </c>
      <c r="F58" s="55">
        <f t="shared" si="25"/>
        <v>0</v>
      </c>
      <c r="G58" s="355">
        <f t="shared" si="26"/>
        <v>0</v>
      </c>
      <c r="H58" s="336">
        <f t="shared" si="27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54">
        <f t="shared" si="24"/>
        <v>0</v>
      </c>
      <c r="F59" s="55">
        <f t="shared" si="25"/>
        <v>0</v>
      </c>
      <c r="G59" s="355">
        <f t="shared" si="26"/>
        <v>0</v>
      </c>
      <c r="H59" s="336">
        <f t="shared" si="27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54">
        <f t="shared" si="24"/>
        <v>0</v>
      </c>
      <c r="F60" s="55">
        <f t="shared" si="25"/>
        <v>0</v>
      </c>
      <c r="G60" s="355">
        <f t="shared" si="26"/>
        <v>0</v>
      </c>
      <c r="H60" s="336">
        <f t="shared" si="27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54">
        <f t="shared" si="24"/>
        <v>0</v>
      </c>
      <c r="F61" s="55">
        <f t="shared" si="25"/>
        <v>0</v>
      </c>
      <c r="G61" s="355">
        <f t="shared" si="26"/>
        <v>0</v>
      </c>
      <c r="H61" s="336">
        <f t="shared" si="27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54">
        <f t="shared" si="24"/>
        <v>0</v>
      </c>
      <c r="F62" s="55">
        <f t="shared" si="25"/>
        <v>0</v>
      </c>
      <c r="G62" s="355">
        <f t="shared" si="26"/>
        <v>0</v>
      </c>
      <c r="H62" s="336">
        <f t="shared" si="27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54">
        <f t="shared" si="24"/>
        <v>0</v>
      </c>
      <c r="F63" s="55">
        <f t="shared" si="25"/>
        <v>0</v>
      </c>
      <c r="G63" s="355">
        <f t="shared" si="26"/>
        <v>0</v>
      </c>
      <c r="H63" s="336">
        <f t="shared" si="27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54">
        <f t="shared" si="24"/>
        <v>0</v>
      </c>
      <c r="F64" s="55">
        <f t="shared" si="25"/>
        <v>0</v>
      </c>
      <c r="G64" s="355">
        <f t="shared" si="26"/>
        <v>0</v>
      </c>
      <c r="H64" s="336">
        <f t="shared" si="27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54">
        <f t="shared" si="24"/>
        <v>0</v>
      </c>
      <c r="F65" s="55">
        <f t="shared" si="25"/>
        <v>0</v>
      </c>
      <c r="G65" s="355">
        <f t="shared" si="26"/>
        <v>0</v>
      </c>
      <c r="H65" s="336">
        <f t="shared" si="27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54">
        <f t="shared" si="24"/>
        <v>0</v>
      </c>
      <c r="F66" s="55">
        <f t="shared" si="25"/>
        <v>0</v>
      </c>
      <c r="G66" s="355">
        <f t="shared" si="26"/>
        <v>0</v>
      </c>
      <c r="H66" s="336">
        <f t="shared" si="27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54">
        <f t="shared" si="24"/>
        <v>0</v>
      </c>
      <c r="F67" s="55">
        <f t="shared" si="25"/>
        <v>0</v>
      </c>
      <c r="G67" s="355">
        <f t="shared" si="26"/>
        <v>0</v>
      </c>
      <c r="H67" s="336">
        <f t="shared" si="27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54">
        <f t="shared" si="24"/>
        <v>0</v>
      </c>
      <c r="F68" s="55">
        <f t="shared" si="25"/>
        <v>0</v>
      </c>
      <c r="G68" s="355">
        <f t="shared" si="26"/>
        <v>0</v>
      </c>
      <c r="H68" s="336">
        <f t="shared" si="27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54">
        <f t="shared" si="24"/>
        <v>0</v>
      </c>
      <c r="F69" s="55">
        <f t="shared" si="25"/>
        <v>0</v>
      </c>
      <c r="G69" s="355">
        <f t="shared" si="26"/>
        <v>0</v>
      </c>
      <c r="H69" s="336">
        <f t="shared" si="27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54">
        <f t="shared" si="24"/>
        <v>0</v>
      </c>
      <c r="F70" s="55">
        <f t="shared" si="25"/>
        <v>0</v>
      </c>
      <c r="G70" s="355">
        <f t="shared" si="26"/>
        <v>0</v>
      </c>
      <c r="H70" s="336">
        <f t="shared" si="27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54">
        <f t="shared" si="24"/>
        <v>0</v>
      </c>
      <c r="F71" s="55">
        <f t="shared" si="25"/>
        <v>0</v>
      </c>
      <c r="G71" s="355">
        <f t="shared" si="26"/>
        <v>0</v>
      </c>
      <c r="H71" s="336">
        <f t="shared" si="27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8">
        <f>IF(D11="","-",+C71+1)</f>
        <v>2072</v>
      </c>
      <c r="D72" s="59">
        <f>IF(F71+SUM(E$17:E71)=D$10,F71,D$10-SUM(E$17:E71))</f>
        <v>0</v>
      </c>
      <c r="E72" s="357">
        <f t="shared" si="24"/>
        <v>0</v>
      </c>
      <c r="F72" s="59">
        <f t="shared" si="25"/>
        <v>0</v>
      </c>
      <c r="G72" s="382">
        <f t="shared" si="26"/>
        <v>0</v>
      </c>
      <c r="H72" s="334">
        <f t="shared" si="27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>
      <c r="C73" s="12" t="s">
        <v>77</v>
      </c>
      <c r="D73" s="266"/>
      <c r="E73" s="266">
        <f>SUM(E17:E72)</f>
        <v>1961220.7100000004</v>
      </c>
      <c r="F73" s="266"/>
      <c r="G73" s="266">
        <f>SUM(G17:G72)</f>
        <v>6300074.3760224441</v>
      </c>
      <c r="H73" s="266">
        <f>SUM(H17:H72)</f>
        <v>6300074.3760224441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20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239794.26173878013</v>
      </c>
      <c r="N87" s="364">
        <f>IF(J92&lt;D11,0,VLOOKUP(J92,C17:O72,11))</f>
        <v>239794.26173878013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249009.06331308241</v>
      </c>
      <c r="N88" s="367">
        <f>IF(J92&lt;D11,0,VLOOKUP(J92,C99:P154,7))</f>
        <v>249009.06331308241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Sayre 138 kV Capacitor Bank Addition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9214.8015743022843</v>
      </c>
      <c r="N89" s="369">
        <f>+N88-N87</f>
        <v>9214.8015743022843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TP2015202</v>
      </c>
      <c r="E91" s="74" t="str">
        <f>E9</f>
        <v xml:space="preserve">  SPP Project ID = 30997</v>
      </c>
      <c r="F91" s="74"/>
      <c r="G91" s="74"/>
      <c r="H91" s="74"/>
      <c r="I91" s="74"/>
      <c r="J91" s="74"/>
    </row>
    <row r="92" spans="1:16">
      <c r="C92" s="128" t="s">
        <v>226</v>
      </c>
      <c r="D92" s="372">
        <v>1961220.7100000002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D11</f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D12</f>
        <v>12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53006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2018</v>
      </c>
      <c r="D99" s="411">
        <v>0</v>
      </c>
      <c r="E99" s="432">
        <v>0</v>
      </c>
      <c r="F99" s="411">
        <v>1140000</v>
      </c>
      <c r="G99" s="432">
        <v>570000</v>
      </c>
      <c r="H99" s="414">
        <v>72305.937255510624</v>
      </c>
      <c r="I99" s="431">
        <v>72305.937255510624</v>
      </c>
      <c r="J99" s="54">
        <f t="shared" ref="J99:J130" si="28">+I99-H99</f>
        <v>0</v>
      </c>
      <c r="K99" s="54"/>
      <c r="L99" s="53">
        <f>+H99</f>
        <v>72305.937255510624</v>
      </c>
      <c r="M99" s="53">
        <f t="shared" ref="M99:M130" si="29">IF(L99&lt;&gt;0,+H99-L99,0)</f>
        <v>0</v>
      </c>
      <c r="N99" s="53">
        <f>+I99</f>
        <v>72305.937255510624</v>
      </c>
      <c r="O99" s="53">
        <f t="shared" ref="O99:O130" si="30">IF(N99&lt;&gt;0,+I99-N99,0)</f>
        <v>0</v>
      </c>
      <c r="P99" s="53">
        <f t="shared" ref="P99:P130" si="31">+O99-M99</f>
        <v>0</v>
      </c>
    </row>
    <row r="100" spans="1:16">
      <c r="B100" s="7" t="str">
        <f>IF(D100=F99,"","IU")</f>
        <v>IU</v>
      </c>
      <c r="C100" s="50">
        <f>IF(D93="","-",+C99+1)</f>
        <v>2019</v>
      </c>
      <c r="D100" s="411">
        <v>1961221</v>
      </c>
      <c r="E100" s="412">
        <v>47835</v>
      </c>
      <c r="F100" s="413">
        <v>1913386</v>
      </c>
      <c r="G100" s="413">
        <v>1937303.5</v>
      </c>
      <c r="H100" s="430">
        <v>247598.16362509641</v>
      </c>
      <c r="I100" s="431">
        <v>247598.16362509641</v>
      </c>
      <c r="J100" s="54">
        <f t="shared" si="28"/>
        <v>0</v>
      </c>
      <c r="K100" s="54"/>
      <c r="L100" s="350">
        <f t="shared" ref="L100:L105" si="32">H100</f>
        <v>247598.16362509641</v>
      </c>
      <c r="M100" s="63">
        <f t="shared" ref="M100:M105" si="33">IF(L100&lt;&gt;0,+H100-L100,0)</f>
        <v>0</v>
      </c>
      <c r="N100" s="350">
        <f t="shared" ref="N100:N105" si="34">I100</f>
        <v>247598.16362509641</v>
      </c>
      <c r="O100" s="52">
        <f>IF(N100&lt;&gt;0,+I100-N100,0)</f>
        <v>0</v>
      </c>
      <c r="P100" s="54">
        <f>+O100-M100</f>
        <v>0</v>
      </c>
    </row>
    <row r="101" spans="1:16">
      <c r="B101" s="7" t="str">
        <f t="shared" ref="B101:B154" si="35">IF(D101=F100,"","IU")</f>
        <v/>
      </c>
      <c r="C101" s="50">
        <f>IF(D93="","-",+C100+1)</f>
        <v>2020</v>
      </c>
      <c r="D101" s="411">
        <v>1913386</v>
      </c>
      <c r="E101" s="412">
        <v>45610</v>
      </c>
      <c r="F101" s="413">
        <v>1867776</v>
      </c>
      <c r="G101" s="413">
        <v>1890581</v>
      </c>
      <c r="H101" s="430">
        <v>263588.79157611891</v>
      </c>
      <c r="I101" s="431">
        <v>263588.79157611891</v>
      </c>
      <c r="J101" s="54">
        <f t="shared" si="28"/>
        <v>0</v>
      </c>
      <c r="K101" s="54"/>
      <c r="L101" s="350">
        <f t="shared" si="32"/>
        <v>263588.79157611891</v>
      </c>
      <c r="M101" s="63">
        <f t="shared" si="33"/>
        <v>0</v>
      </c>
      <c r="N101" s="350">
        <f t="shared" si="34"/>
        <v>263588.79157611891</v>
      </c>
      <c r="O101" s="54">
        <f t="shared" si="30"/>
        <v>0</v>
      </c>
      <c r="P101" s="54">
        <f t="shared" si="31"/>
        <v>0</v>
      </c>
    </row>
    <row r="102" spans="1:16">
      <c r="B102" s="7" t="str">
        <f t="shared" si="35"/>
        <v/>
      </c>
      <c r="C102" s="50">
        <f>IF(D93="","-",+C101+1)</f>
        <v>2021</v>
      </c>
      <c r="D102" s="411">
        <v>1867776</v>
      </c>
      <c r="E102" s="412">
        <v>47835</v>
      </c>
      <c r="F102" s="413">
        <v>1819941</v>
      </c>
      <c r="G102" s="413">
        <v>1843858.5</v>
      </c>
      <c r="H102" s="430">
        <v>257652.80866980529</v>
      </c>
      <c r="I102" s="431">
        <v>257652.80866980529</v>
      </c>
      <c r="J102" s="54">
        <f t="shared" si="28"/>
        <v>0</v>
      </c>
      <c r="K102" s="54"/>
      <c r="L102" s="350">
        <f t="shared" si="32"/>
        <v>257652.80866980529</v>
      </c>
      <c r="M102" s="63">
        <f t="shared" si="33"/>
        <v>0</v>
      </c>
      <c r="N102" s="350">
        <f t="shared" si="34"/>
        <v>257652.80866980529</v>
      </c>
      <c r="O102" s="54">
        <f t="shared" si="30"/>
        <v>0</v>
      </c>
      <c r="P102" s="54">
        <f t="shared" si="31"/>
        <v>0</v>
      </c>
    </row>
    <row r="103" spans="1:16">
      <c r="B103" s="7" t="str">
        <f t="shared" si="35"/>
        <v/>
      </c>
      <c r="C103" s="50">
        <f>IF(D93="","-",+C102+1)</f>
        <v>2022</v>
      </c>
      <c r="D103" s="411">
        <v>1819941</v>
      </c>
      <c r="E103" s="412">
        <v>50288</v>
      </c>
      <c r="F103" s="413">
        <v>1769653</v>
      </c>
      <c r="G103" s="413">
        <v>1794797</v>
      </c>
      <c r="H103" s="430">
        <v>248043.4948332576</v>
      </c>
      <c r="I103" s="431">
        <v>248043.4948332576</v>
      </c>
      <c r="J103" s="54">
        <f t="shared" si="28"/>
        <v>0</v>
      </c>
      <c r="K103" s="54"/>
      <c r="L103" s="350">
        <f t="shared" si="32"/>
        <v>248043.4948332576</v>
      </c>
      <c r="M103" s="63">
        <f t="shared" si="33"/>
        <v>0</v>
      </c>
      <c r="N103" s="350">
        <f t="shared" si="34"/>
        <v>248043.4948332576</v>
      </c>
      <c r="O103" s="54">
        <f t="shared" ref="O103" si="36">IF(N103&lt;&gt;0,+I103-N103,0)</f>
        <v>0</v>
      </c>
      <c r="P103" s="54">
        <f t="shared" ref="P103" si="37">+O103-M103</f>
        <v>0</v>
      </c>
    </row>
    <row r="104" spans="1:16">
      <c r="B104" s="7" t="str">
        <f t="shared" si="35"/>
        <v>IU</v>
      </c>
      <c r="C104" s="50">
        <f>IF(D93="","-",+C103+1)</f>
        <v>2023</v>
      </c>
      <c r="D104" s="411">
        <v>1769652.7100000002</v>
      </c>
      <c r="E104" s="412">
        <v>51611</v>
      </c>
      <c r="F104" s="413">
        <v>1718041.7100000002</v>
      </c>
      <c r="G104" s="413">
        <v>1743847.2100000002</v>
      </c>
      <c r="H104" s="430">
        <v>250805.52777728185</v>
      </c>
      <c r="I104" s="431">
        <v>250805.52777728185</v>
      </c>
      <c r="J104" s="54">
        <f t="shared" si="28"/>
        <v>0</v>
      </c>
      <c r="K104" s="54"/>
      <c r="L104" s="350">
        <f t="shared" si="32"/>
        <v>250805.52777728185</v>
      </c>
      <c r="M104" s="63">
        <f t="shared" si="33"/>
        <v>0</v>
      </c>
      <c r="N104" s="350">
        <f t="shared" si="34"/>
        <v>250805.52777728185</v>
      </c>
      <c r="O104" s="54">
        <f t="shared" ref="O104" si="38">IF(N104&lt;&gt;0,+I104-N104,0)</f>
        <v>0</v>
      </c>
      <c r="P104" s="54">
        <f t="shared" ref="P104" si="39">+O104-M104</f>
        <v>0</v>
      </c>
    </row>
    <row r="105" spans="1:16">
      <c r="B105" s="7" t="str">
        <f t="shared" si="35"/>
        <v/>
      </c>
      <c r="C105" s="50">
        <f>IF(D93="","-",+C104+1)</f>
        <v>2024</v>
      </c>
      <c r="D105" s="411">
        <v>1718041.7100000002</v>
      </c>
      <c r="E105" s="412">
        <v>53006</v>
      </c>
      <c r="F105" s="413">
        <v>1665035.7100000002</v>
      </c>
      <c r="G105" s="413">
        <v>1691538.7100000002</v>
      </c>
      <c r="H105" s="430">
        <v>280211.29703184415</v>
      </c>
      <c r="I105" s="431">
        <v>280211.29703184415</v>
      </c>
      <c r="J105" s="54">
        <f t="shared" si="28"/>
        <v>0</v>
      </c>
      <c r="K105" s="54"/>
      <c r="L105" s="350">
        <f t="shared" si="32"/>
        <v>280211.29703184415</v>
      </c>
      <c r="M105" s="63">
        <f t="shared" si="33"/>
        <v>0</v>
      </c>
      <c r="N105" s="350">
        <f t="shared" si="34"/>
        <v>280211.29703184415</v>
      </c>
      <c r="O105" s="54">
        <f t="shared" ref="O105" si="40">IF(N105&lt;&gt;0,+I105-N105,0)</f>
        <v>0</v>
      </c>
      <c r="P105" s="54">
        <f t="shared" ref="P105" si="41">+O105-M105</f>
        <v>0</v>
      </c>
    </row>
    <row r="106" spans="1:16">
      <c r="B106" s="7" t="str">
        <f t="shared" si="35"/>
        <v/>
      </c>
      <c r="C106" s="50">
        <f>IF(D93="","-",+C105+1)</f>
        <v>2025</v>
      </c>
      <c r="D106" s="12">
        <f>IF(F105+SUM(E$99:E105)=D$92,F105,D$92-SUM(E$99:E105))</f>
        <v>1665035.7100000002</v>
      </c>
      <c r="E106" s="354">
        <f t="shared" ref="E106:E154" si="42">IF(+J$96&lt;F105,J$96,D106)</f>
        <v>53006</v>
      </c>
      <c r="F106" s="55">
        <f t="shared" ref="F106:F154" si="43">+D106-E106</f>
        <v>1612029.7100000002</v>
      </c>
      <c r="G106" s="55">
        <f t="shared" ref="G106:G154" si="44">+(F106+D106)/2</f>
        <v>1638532.7100000002</v>
      </c>
      <c r="H106" s="355">
        <f t="shared" ref="H106:H153" si="45">(D106+F106)/2*J$94+E106</f>
        <v>249009.06331308241</v>
      </c>
      <c r="I106" s="381">
        <f t="shared" ref="I106:I153" si="46">+J$95*G106+E106</f>
        <v>249009.06331308241</v>
      </c>
      <c r="J106" s="54">
        <f t="shared" si="28"/>
        <v>0</v>
      </c>
      <c r="K106" s="54"/>
      <c r="L106" s="115"/>
      <c r="M106" s="54">
        <f t="shared" si="29"/>
        <v>0</v>
      </c>
      <c r="N106" s="115"/>
      <c r="O106" s="54">
        <f t="shared" si="30"/>
        <v>0</v>
      </c>
      <c r="P106" s="54">
        <f t="shared" si="31"/>
        <v>0</v>
      </c>
    </row>
    <row r="107" spans="1:16">
      <c r="B107" s="7" t="str">
        <f t="shared" si="35"/>
        <v/>
      </c>
      <c r="C107" s="50">
        <f>IF(D93="","-",+C106+1)</f>
        <v>2026</v>
      </c>
      <c r="D107" s="12">
        <f>IF(F106+SUM(E$99:E106)=D$92,F106,D$92-SUM(E$99:E106))</f>
        <v>1612029.7100000002</v>
      </c>
      <c r="E107" s="354">
        <f t="shared" si="42"/>
        <v>53006</v>
      </c>
      <c r="F107" s="55">
        <f t="shared" si="43"/>
        <v>1559023.7100000002</v>
      </c>
      <c r="G107" s="55">
        <f t="shared" si="44"/>
        <v>1585526.7100000002</v>
      </c>
      <c r="H107" s="355">
        <f t="shared" si="45"/>
        <v>242668.42799309955</v>
      </c>
      <c r="I107" s="381">
        <f t="shared" si="46"/>
        <v>242668.42799309955</v>
      </c>
      <c r="J107" s="54">
        <f t="shared" si="28"/>
        <v>0</v>
      </c>
      <c r="K107" s="54"/>
      <c r="L107" s="115"/>
      <c r="M107" s="54">
        <f t="shared" si="29"/>
        <v>0</v>
      </c>
      <c r="N107" s="115"/>
      <c r="O107" s="54">
        <f t="shared" si="30"/>
        <v>0</v>
      </c>
      <c r="P107" s="54">
        <f t="shared" si="31"/>
        <v>0</v>
      </c>
    </row>
    <row r="108" spans="1:16">
      <c r="B108" s="7" t="str">
        <f t="shared" si="35"/>
        <v/>
      </c>
      <c r="C108" s="50">
        <f>IF(D93="","-",+C107+1)</f>
        <v>2027</v>
      </c>
      <c r="D108" s="12">
        <f>IF(F107+SUM(E$99:E107)=D$92,F107,D$92-SUM(E$99:E107))</f>
        <v>1559023.7100000002</v>
      </c>
      <c r="E108" s="354">
        <f t="shared" si="42"/>
        <v>53006</v>
      </c>
      <c r="F108" s="55">
        <f t="shared" si="43"/>
        <v>1506017.7100000002</v>
      </c>
      <c r="G108" s="55">
        <f t="shared" si="44"/>
        <v>1532520.7100000002</v>
      </c>
      <c r="H108" s="355">
        <f t="shared" si="45"/>
        <v>236327.7926731167</v>
      </c>
      <c r="I108" s="381">
        <f t="shared" si="46"/>
        <v>236327.7926731167</v>
      </c>
      <c r="J108" s="54">
        <f t="shared" si="28"/>
        <v>0</v>
      </c>
      <c r="K108" s="54"/>
      <c r="L108" s="115"/>
      <c r="M108" s="54">
        <f t="shared" si="29"/>
        <v>0</v>
      </c>
      <c r="N108" s="115"/>
      <c r="O108" s="54">
        <f t="shared" si="30"/>
        <v>0</v>
      </c>
      <c r="P108" s="54">
        <f t="shared" si="31"/>
        <v>0</v>
      </c>
    </row>
    <row r="109" spans="1:16">
      <c r="B109" s="7" t="str">
        <f t="shared" si="35"/>
        <v/>
      </c>
      <c r="C109" s="50">
        <f>IF(D93="","-",+C108+1)</f>
        <v>2028</v>
      </c>
      <c r="D109" s="12">
        <f>IF(F108+SUM(E$99:E108)=D$92,F108,D$92-SUM(E$99:E108))</f>
        <v>1506017.7100000002</v>
      </c>
      <c r="E109" s="354">
        <f t="shared" si="42"/>
        <v>53006</v>
      </c>
      <c r="F109" s="55">
        <f t="shared" si="43"/>
        <v>1453011.7100000002</v>
      </c>
      <c r="G109" s="55">
        <f t="shared" si="44"/>
        <v>1479514.7100000002</v>
      </c>
      <c r="H109" s="355">
        <f t="shared" si="45"/>
        <v>229987.15735313381</v>
      </c>
      <c r="I109" s="381">
        <f t="shared" si="46"/>
        <v>229987.15735313381</v>
      </c>
      <c r="J109" s="54">
        <f t="shared" si="28"/>
        <v>0</v>
      </c>
      <c r="K109" s="54"/>
      <c r="L109" s="115"/>
      <c r="M109" s="54">
        <f t="shared" si="29"/>
        <v>0</v>
      </c>
      <c r="N109" s="115"/>
      <c r="O109" s="54">
        <f t="shared" si="30"/>
        <v>0</v>
      </c>
      <c r="P109" s="54">
        <f t="shared" si="31"/>
        <v>0</v>
      </c>
    </row>
    <row r="110" spans="1:16">
      <c r="B110" s="7" t="str">
        <f t="shared" si="35"/>
        <v/>
      </c>
      <c r="C110" s="50">
        <f>IF(D93="","-",+C109+1)</f>
        <v>2029</v>
      </c>
      <c r="D110" s="12">
        <f>IF(F109+SUM(E$99:E109)=D$92,F109,D$92-SUM(E$99:E109))</f>
        <v>1453011.7100000002</v>
      </c>
      <c r="E110" s="354">
        <f t="shared" si="42"/>
        <v>53006</v>
      </c>
      <c r="F110" s="55">
        <f t="shared" si="43"/>
        <v>1400005.7100000002</v>
      </c>
      <c r="G110" s="55">
        <f t="shared" si="44"/>
        <v>1426508.7100000002</v>
      </c>
      <c r="H110" s="355">
        <f t="shared" si="45"/>
        <v>223646.52203315095</v>
      </c>
      <c r="I110" s="381">
        <f t="shared" si="46"/>
        <v>223646.52203315095</v>
      </c>
      <c r="J110" s="54">
        <f t="shared" si="28"/>
        <v>0</v>
      </c>
      <c r="K110" s="54"/>
      <c r="L110" s="115"/>
      <c r="M110" s="54">
        <f t="shared" si="29"/>
        <v>0</v>
      </c>
      <c r="N110" s="115"/>
      <c r="O110" s="54">
        <f t="shared" si="30"/>
        <v>0</v>
      </c>
      <c r="P110" s="54">
        <f t="shared" si="31"/>
        <v>0</v>
      </c>
    </row>
    <row r="111" spans="1:16">
      <c r="B111" s="7" t="str">
        <f t="shared" si="35"/>
        <v/>
      </c>
      <c r="C111" s="50">
        <f>IF(D93="","-",+C110+1)</f>
        <v>2030</v>
      </c>
      <c r="D111" s="12">
        <f>IF(F110+SUM(E$99:E110)=D$92,F110,D$92-SUM(E$99:E110))</f>
        <v>1400005.7100000002</v>
      </c>
      <c r="E111" s="354">
        <f t="shared" si="42"/>
        <v>53006</v>
      </c>
      <c r="F111" s="55">
        <f t="shared" si="43"/>
        <v>1346999.7100000002</v>
      </c>
      <c r="G111" s="55">
        <f t="shared" si="44"/>
        <v>1373502.7100000002</v>
      </c>
      <c r="H111" s="355">
        <f t="shared" si="45"/>
        <v>217305.88671316809</v>
      </c>
      <c r="I111" s="381">
        <f t="shared" si="46"/>
        <v>217305.88671316809</v>
      </c>
      <c r="J111" s="54">
        <f t="shared" si="28"/>
        <v>0</v>
      </c>
      <c r="K111" s="54"/>
      <c r="L111" s="115"/>
      <c r="M111" s="54">
        <f t="shared" si="29"/>
        <v>0</v>
      </c>
      <c r="N111" s="115"/>
      <c r="O111" s="54">
        <f t="shared" si="30"/>
        <v>0</v>
      </c>
      <c r="P111" s="54">
        <f t="shared" si="31"/>
        <v>0</v>
      </c>
    </row>
    <row r="112" spans="1:16">
      <c r="B112" s="7" t="str">
        <f t="shared" si="35"/>
        <v/>
      </c>
      <c r="C112" s="50">
        <f>IF(D93="","-",+C111+1)</f>
        <v>2031</v>
      </c>
      <c r="D112" s="12">
        <f>IF(F111+SUM(E$99:E111)=D$92,F111,D$92-SUM(E$99:E111))</f>
        <v>1346999.7100000002</v>
      </c>
      <c r="E112" s="354">
        <f t="shared" si="42"/>
        <v>53006</v>
      </c>
      <c r="F112" s="55">
        <f t="shared" si="43"/>
        <v>1293993.7100000002</v>
      </c>
      <c r="G112" s="55">
        <f t="shared" si="44"/>
        <v>1320496.7100000002</v>
      </c>
      <c r="H112" s="355">
        <f t="shared" si="45"/>
        <v>210965.2513931852</v>
      </c>
      <c r="I112" s="381">
        <f t="shared" si="46"/>
        <v>210965.2513931852</v>
      </c>
      <c r="J112" s="54">
        <f t="shared" si="28"/>
        <v>0</v>
      </c>
      <c r="K112" s="54"/>
      <c r="L112" s="115"/>
      <c r="M112" s="54">
        <f t="shared" si="29"/>
        <v>0</v>
      </c>
      <c r="N112" s="115"/>
      <c r="O112" s="54">
        <f t="shared" si="30"/>
        <v>0</v>
      </c>
      <c r="P112" s="54">
        <f t="shared" si="31"/>
        <v>0</v>
      </c>
    </row>
    <row r="113" spans="2:16">
      <c r="B113" s="7" t="str">
        <f t="shared" si="35"/>
        <v/>
      </c>
      <c r="C113" s="50">
        <f>IF(D93="","-",+C112+1)</f>
        <v>2032</v>
      </c>
      <c r="D113" s="12">
        <f>IF(F112+SUM(E$99:E112)=D$92,F112,D$92-SUM(E$99:E112))</f>
        <v>1293993.7100000002</v>
      </c>
      <c r="E113" s="354">
        <f t="shared" si="42"/>
        <v>53006</v>
      </c>
      <c r="F113" s="55">
        <f t="shared" si="43"/>
        <v>1240987.7100000002</v>
      </c>
      <c r="G113" s="55">
        <f t="shared" si="44"/>
        <v>1267490.7100000002</v>
      </c>
      <c r="H113" s="355">
        <f t="shared" si="45"/>
        <v>204624.61607320234</v>
      </c>
      <c r="I113" s="381">
        <f t="shared" si="46"/>
        <v>204624.61607320234</v>
      </c>
      <c r="J113" s="54">
        <f t="shared" si="28"/>
        <v>0</v>
      </c>
      <c r="K113" s="54"/>
      <c r="L113" s="115"/>
      <c r="M113" s="54">
        <f t="shared" si="29"/>
        <v>0</v>
      </c>
      <c r="N113" s="115"/>
      <c r="O113" s="54">
        <f t="shared" si="30"/>
        <v>0</v>
      </c>
      <c r="P113" s="54">
        <f t="shared" si="31"/>
        <v>0</v>
      </c>
    </row>
    <row r="114" spans="2:16">
      <c r="B114" s="7" t="str">
        <f t="shared" si="35"/>
        <v/>
      </c>
      <c r="C114" s="50">
        <f>IF(D93="","-",+C113+1)</f>
        <v>2033</v>
      </c>
      <c r="D114" s="12">
        <f>IF(F113+SUM(E$99:E113)=D$92,F113,D$92-SUM(E$99:E113))</f>
        <v>1240987.7100000002</v>
      </c>
      <c r="E114" s="354">
        <f t="shared" si="42"/>
        <v>53006</v>
      </c>
      <c r="F114" s="55">
        <f t="shared" si="43"/>
        <v>1187981.7100000002</v>
      </c>
      <c r="G114" s="55">
        <f t="shared" si="44"/>
        <v>1214484.7100000002</v>
      </c>
      <c r="H114" s="355">
        <f t="shared" si="45"/>
        <v>198283.98075321948</v>
      </c>
      <c r="I114" s="381">
        <f t="shared" si="46"/>
        <v>198283.98075321948</v>
      </c>
      <c r="J114" s="54">
        <f t="shared" si="28"/>
        <v>0</v>
      </c>
      <c r="K114" s="54"/>
      <c r="L114" s="115"/>
      <c r="M114" s="54">
        <f t="shared" si="29"/>
        <v>0</v>
      </c>
      <c r="N114" s="115"/>
      <c r="O114" s="54">
        <f t="shared" si="30"/>
        <v>0</v>
      </c>
      <c r="P114" s="54">
        <f t="shared" si="31"/>
        <v>0</v>
      </c>
    </row>
    <row r="115" spans="2:16">
      <c r="B115" s="7" t="str">
        <f t="shared" si="35"/>
        <v/>
      </c>
      <c r="C115" s="50">
        <f>IF(D93="","-",+C114+1)</f>
        <v>2034</v>
      </c>
      <c r="D115" s="12">
        <f>IF(F114+SUM(E$99:E114)=D$92,F114,D$92-SUM(E$99:E114))</f>
        <v>1187981.7100000002</v>
      </c>
      <c r="E115" s="354">
        <f t="shared" si="42"/>
        <v>53006</v>
      </c>
      <c r="F115" s="55">
        <f t="shared" si="43"/>
        <v>1134975.7100000002</v>
      </c>
      <c r="G115" s="55">
        <f t="shared" si="44"/>
        <v>1161478.7100000002</v>
      </c>
      <c r="H115" s="355">
        <f t="shared" si="45"/>
        <v>191943.34543323659</v>
      </c>
      <c r="I115" s="381">
        <f t="shared" si="46"/>
        <v>191943.34543323659</v>
      </c>
      <c r="J115" s="54">
        <f t="shared" si="28"/>
        <v>0</v>
      </c>
      <c r="K115" s="54"/>
      <c r="L115" s="115"/>
      <c r="M115" s="54">
        <f t="shared" si="29"/>
        <v>0</v>
      </c>
      <c r="N115" s="115"/>
      <c r="O115" s="54">
        <f t="shared" si="30"/>
        <v>0</v>
      </c>
      <c r="P115" s="54">
        <f t="shared" si="31"/>
        <v>0</v>
      </c>
    </row>
    <row r="116" spans="2:16">
      <c r="B116" s="7" t="str">
        <f t="shared" si="35"/>
        <v/>
      </c>
      <c r="C116" s="50">
        <f>IF(D93="","-",+C115+1)</f>
        <v>2035</v>
      </c>
      <c r="D116" s="12">
        <f>IF(F115+SUM(E$99:E115)=D$92,F115,D$92-SUM(E$99:E115))</f>
        <v>1134975.7100000002</v>
      </c>
      <c r="E116" s="354">
        <f t="shared" si="42"/>
        <v>53006</v>
      </c>
      <c r="F116" s="55">
        <f t="shared" si="43"/>
        <v>1081969.7100000002</v>
      </c>
      <c r="G116" s="55">
        <f t="shared" si="44"/>
        <v>1108472.7100000002</v>
      </c>
      <c r="H116" s="355">
        <f t="shared" si="45"/>
        <v>185602.71011325374</v>
      </c>
      <c r="I116" s="381">
        <f t="shared" si="46"/>
        <v>185602.71011325374</v>
      </c>
      <c r="J116" s="54">
        <f t="shared" si="28"/>
        <v>0</v>
      </c>
      <c r="K116" s="54"/>
      <c r="L116" s="115"/>
      <c r="M116" s="54">
        <f t="shared" si="29"/>
        <v>0</v>
      </c>
      <c r="N116" s="115"/>
      <c r="O116" s="54">
        <f t="shared" si="30"/>
        <v>0</v>
      </c>
      <c r="P116" s="54">
        <f t="shared" si="31"/>
        <v>0</v>
      </c>
    </row>
    <row r="117" spans="2:16">
      <c r="B117" s="7" t="str">
        <f t="shared" si="35"/>
        <v/>
      </c>
      <c r="C117" s="50">
        <f>IF(D93="","-",+C116+1)</f>
        <v>2036</v>
      </c>
      <c r="D117" s="12">
        <f>IF(F116+SUM(E$99:E116)=D$92,F116,D$92-SUM(E$99:E116))</f>
        <v>1081969.7100000002</v>
      </c>
      <c r="E117" s="354">
        <f t="shared" si="42"/>
        <v>53006</v>
      </c>
      <c r="F117" s="55">
        <f t="shared" si="43"/>
        <v>1028963.7100000002</v>
      </c>
      <c r="G117" s="55">
        <f t="shared" si="44"/>
        <v>1055466.7100000002</v>
      </c>
      <c r="H117" s="355">
        <f t="shared" si="45"/>
        <v>179262.07479327088</v>
      </c>
      <c r="I117" s="381">
        <f t="shared" si="46"/>
        <v>179262.07479327088</v>
      </c>
      <c r="J117" s="54">
        <f t="shared" si="28"/>
        <v>0</v>
      </c>
      <c r="K117" s="54"/>
      <c r="L117" s="115"/>
      <c r="M117" s="54">
        <f t="shared" si="29"/>
        <v>0</v>
      </c>
      <c r="N117" s="115"/>
      <c r="O117" s="54">
        <f t="shared" si="30"/>
        <v>0</v>
      </c>
      <c r="P117" s="54">
        <f t="shared" si="31"/>
        <v>0</v>
      </c>
    </row>
    <row r="118" spans="2:16">
      <c r="B118" s="7" t="str">
        <f t="shared" si="35"/>
        <v/>
      </c>
      <c r="C118" s="50">
        <f>IF(D93="","-",+C117+1)</f>
        <v>2037</v>
      </c>
      <c r="D118" s="12">
        <f>IF(F117+SUM(E$99:E117)=D$92,F117,D$92-SUM(E$99:E117))</f>
        <v>1028963.7100000002</v>
      </c>
      <c r="E118" s="354">
        <f t="shared" si="42"/>
        <v>53006</v>
      </c>
      <c r="F118" s="55">
        <f t="shared" si="43"/>
        <v>975957.7100000002</v>
      </c>
      <c r="G118" s="55">
        <f t="shared" si="44"/>
        <v>1002460.7100000002</v>
      </c>
      <c r="H118" s="355">
        <f t="shared" si="45"/>
        <v>172921.43947328802</v>
      </c>
      <c r="I118" s="381">
        <f t="shared" si="46"/>
        <v>172921.43947328802</v>
      </c>
      <c r="J118" s="54">
        <f t="shared" si="28"/>
        <v>0</v>
      </c>
      <c r="K118" s="54"/>
      <c r="L118" s="115"/>
      <c r="M118" s="54">
        <f t="shared" si="29"/>
        <v>0</v>
      </c>
      <c r="N118" s="115"/>
      <c r="O118" s="54">
        <f t="shared" si="30"/>
        <v>0</v>
      </c>
      <c r="P118" s="54">
        <f t="shared" si="31"/>
        <v>0</v>
      </c>
    </row>
    <row r="119" spans="2:16">
      <c r="B119" s="7" t="str">
        <f t="shared" si="35"/>
        <v/>
      </c>
      <c r="C119" s="50">
        <f>IF(D93="","-",+C118+1)</f>
        <v>2038</v>
      </c>
      <c r="D119" s="12">
        <f>IF(F118+SUM(E$99:E118)=D$92,F118,D$92-SUM(E$99:E118))</f>
        <v>975957.7100000002</v>
      </c>
      <c r="E119" s="354">
        <f t="shared" si="42"/>
        <v>53006</v>
      </c>
      <c r="F119" s="55">
        <f t="shared" si="43"/>
        <v>922951.7100000002</v>
      </c>
      <c r="G119" s="55">
        <f t="shared" si="44"/>
        <v>949454.7100000002</v>
      </c>
      <c r="H119" s="355">
        <f t="shared" si="45"/>
        <v>166580.80415330513</v>
      </c>
      <c r="I119" s="381">
        <f t="shared" si="46"/>
        <v>166580.80415330513</v>
      </c>
      <c r="J119" s="54">
        <f t="shared" si="28"/>
        <v>0</v>
      </c>
      <c r="K119" s="54"/>
      <c r="L119" s="115"/>
      <c r="M119" s="54">
        <f t="shared" si="29"/>
        <v>0</v>
      </c>
      <c r="N119" s="115"/>
      <c r="O119" s="54">
        <f t="shared" si="30"/>
        <v>0</v>
      </c>
      <c r="P119" s="54">
        <f t="shared" si="31"/>
        <v>0</v>
      </c>
    </row>
    <row r="120" spans="2:16">
      <c r="B120" s="7" t="str">
        <f t="shared" si="35"/>
        <v/>
      </c>
      <c r="C120" s="50">
        <f>IF(D93="","-",+C119+1)</f>
        <v>2039</v>
      </c>
      <c r="D120" s="12">
        <f>IF(F119+SUM(E$99:E119)=D$92,F119,D$92-SUM(E$99:E119))</f>
        <v>922951.7100000002</v>
      </c>
      <c r="E120" s="354">
        <f t="shared" si="42"/>
        <v>53006</v>
      </c>
      <c r="F120" s="55">
        <f t="shared" si="43"/>
        <v>869945.7100000002</v>
      </c>
      <c r="G120" s="55">
        <f t="shared" si="44"/>
        <v>896448.7100000002</v>
      </c>
      <c r="H120" s="355">
        <f t="shared" si="45"/>
        <v>160240.16883332227</v>
      </c>
      <c r="I120" s="381">
        <f t="shared" si="46"/>
        <v>160240.16883332227</v>
      </c>
      <c r="J120" s="54">
        <f t="shared" si="28"/>
        <v>0</v>
      </c>
      <c r="K120" s="54"/>
      <c r="L120" s="115"/>
      <c r="M120" s="54">
        <f t="shared" si="29"/>
        <v>0</v>
      </c>
      <c r="N120" s="115"/>
      <c r="O120" s="54">
        <f t="shared" si="30"/>
        <v>0</v>
      </c>
      <c r="P120" s="54">
        <f t="shared" si="31"/>
        <v>0</v>
      </c>
    </row>
    <row r="121" spans="2:16">
      <c r="B121" s="7" t="str">
        <f t="shared" si="35"/>
        <v/>
      </c>
      <c r="C121" s="50">
        <f>IF(D93="","-",+C120+1)</f>
        <v>2040</v>
      </c>
      <c r="D121" s="12">
        <f>IF(F120+SUM(E$99:E120)=D$92,F120,D$92-SUM(E$99:E120))</f>
        <v>869945.7100000002</v>
      </c>
      <c r="E121" s="354">
        <f t="shared" si="42"/>
        <v>53006</v>
      </c>
      <c r="F121" s="55">
        <f t="shared" si="43"/>
        <v>816939.7100000002</v>
      </c>
      <c r="G121" s="55">
        <f t="shared" si="44"/>
        <v>843442.7100000002</v>
      </c>
      <c r="H121" s="355">
        <f t="shared" si="45"/>
        <v>153899.53351333941</v>
      </c>
      <c r="I121" s="381">
        <f t="shared" si="46"/>
        <v>153899.53351333941</v>
      </c>
      <c r="J121" s="54">
        <f t="shared" si="28"/>
        <v>0</v>
      </c>
      <c r="K121" s="54"/>
      <c r="L121" s="115"/>
      <c r="M121" s="54">
        <f t="shared" si="29"/>
        <v>0</v>
      </c>
      <c r="N121" s="115"/>
      <c r="O121" s="54">
        <f t="shared" si="30"/>
        <v>0</v>
      </c>
      <c r="P121" s="54">
        <f t="shared" si="31"/>
        <v>0</v>
      </c>
    </row>
    <row r="122" spans="2:16">
      <c r="B122" s="7" t="str">
        <f t="shared" si="35"/>
        <v/>
      </c>
      <c r="C122" s="50">
        <f>IF(D93="","-",+C121+1)</f>
        <v>2041</v>
      </c>
      <c r="D122" s="12">
        <f>IF(F121+SUM(E$99:E121)=D$92,F121,D$92-SUM(E$99:E121))</f>
        <v>816939.7100000002</v>
      </c>
      <c r="E122" s="354">
        <f t="shared" si="42"/>
        <v>53006</v>
      </c>
      <c r="F122" s="55">
        <f t="shared" si="43"/>
        <v>763933.7100000002</v>
      </c>
      <c r="G122" s="55">
        <f t="shared" si="44"/>
        <v>790436.7100000002</v>
      </c>
      <c r="H122" s="355">
        <f t="shared" si="45"/>
        <v>147558.89819335652</v>
      </c>
      <c r="I122" s="381">
        <f t="shared" si="46"/>
        <v>147558.89819335652</v>
      </c>
      <c r="J122" s="54">
        <f t="shared" si="28"/>
        <v>0</v>
      </c>
      <c r="K122" s="54"/>
      <c r="L122" s="115"/>
      <c r="M122" s="54">
        <f t="shared" si="29"/>
        <v>0</v>
      </c>
      <c r="N122" s="115"/>
      <c r="O122" s="54">
        <f t="shared" si="30"/>
        <v>0</v>
      </c>
      <c r="P122" s="54">
        <f t="shared" si="31"/>
        <v>0</v>
      </c>
    </row>
    <row r="123" spans="2:16">
      <c r="B123" s="7" t="str">
        <f t="shared" si="35"/>
        <v/>
      </c>
      <c r="C123" s="50">
        <f>IF(D93="","-",+C122+1)</f>
        <v>2042</v>
      </c>
      <c r="D123" s="12">
        <f>IF(F122+SUM(E$99:E122)=D$92,F122,D$92-SUM(E$99:E122))</f>
        <v>763933.7100000002</v>
      </c>
      <c r="E123" s="354">
        <f t="shared" si="42"/>
        <v>53006</v>
      </c>
      <c r="F123" s="55">
        <f t="shared" si="43"/>
        <v>710927.7100000002</v>
      </c>
      <c r="G123" s="55">
        <f t="shared" si="44"/>
        <v>737430.7100000002</v>
      </c>
      <c r="H123" s="355">
        <f t="shared" si="45"/>
        <v>141218.26287337366</v>
      </c>
      <c r="I123" s="381">
        <f t="shared" si="46"/>
        <v>141218.26287337366</v>
      </c>
      <c r="J123" s="54">
        <f t="shared" si="28"/>
        <v>0</v>
      </c>
      <c r="K123" s="54"/>
      <c r="L123" s="115"/>
      <c r="M123" s="54">
        <f t="shared" si="29"/>
        <v>0</v>
      </c>
      <c r="N123" s="115"/>
      <c r="O123" s="54">
        <f t="shared" si="30"/>
        <v>0</v>
      </c>
      <c r="P123" s="54">
        <f t="shared" si="31"/>
        <v>0</v>
      </c>
    </row>
    <row r="124" spans="2:16">
      <c r="B124" s="7" t="str">
        <f t="shared" si="35"/>
        <v/>
      </c>
      <c r="C124" s="50">
        <f>IF(D93="","-",+C123+1)</f>
        <v>2043</v>
      </c>
      <c r="D124" s="12">
        <f>IF(F123+SUM(E$99:E123)=D$92,F123,D$92-SUM(E$99:E123))</f>
        <v>710927.7100000002</v>
      </c>
      <c r="E124" s="354">
        <f t="shared" si="42"/>
        <v>53006</v>
      </c>
      <c r="F124" s="55">
        <f t="shared" si="43"/>
        <v>657921.7100000002</v>
      </c>
      <c r="G124" s="55">
        <f t="shared" si="44"/>
        <v>684424.7100000002</v>
      </c>
      <c r="H124" s="355">
        <f t="shared" si="45"/>
        <v>134877.6275533908</v>
      </c>
      <c r="I124" s="381">
        <f t="shared" si="46"/>
        <v>134877.6275533908</v>
      </c>
      <c r="J124" s="54">
        <f t="shared" si="28"/>
        <v>0</v>
      </c>
      <c r="K124" s="54"/>
      <c r="L124" s="115"/>
      <c r="M124" s="54">
        <f t="shared" si="29"/>
        <v>0</v>
      </c>
      <c r="N124" s="115"/>
      <c r="O124" s="54">
        <f t="shared" si="30"/>
        <v>0</v>
      </c>
      <c r="P124" s="54">
        <f t="shared" si="31"/>
        <v>0</v>
      </c>
    </row>
    <row r="125" spans="2:16">
      <c r="B125" s="7" t="str">
        <f t="shared" si="35"/>
        <v/>
      </c>
      <c r="C125" s="50">
        <f>IF(D93="","-",+C124+1)</f>
        <v>2044</v>
      </c>
      <c r="D125" s="12">
        <f>IF(F124+SUM(E$99:E124)=D$92,F124,D$92-SUM(E$99:E124))</f>
        <v>657921.7100000002</v>
      </c>
      <c r="E125" s="354">
        <f t="shared" si="42"/>
        <v>53006</v>
      </c>
      <c r="F125" s="55">
        <f t="shared" si="43"/>
        <v>604915.7100000002</v>
      </c>
      <c r="G125" s="55">
        <f t="shared" si="44"/>
        <v>631418.7100000002</v>
      </c>
      <c r="H125" s="355">
        <f t="shared" si="45"/>
        <v>128536.99223340793</v>
      </c>
      <c r="I125" s="381">
        <f t="shared" si="46"/>
        <v>128536.99223340793</v>
      </c>
      <c r="J125" s="54">
        <f t="shared" si="28"/>
        <v>0</v>
      </c>
      <c r="K125" s="54"/>
      <c r="L125" s="115"/>
      <c r="M125" s="54">
        <f t="shared" si="29"/>
        <v>0</v>
      </c>
      <c r="N125" s="115"/>
      <c r="O125" s="54">
        <f t="shared" si="30"/>
        <v>0</v>
      </c>
      <c r="P125" s="54">
        <f t="shared" si="31"/>
        <v>0</v>
      </c>
    </row>
    <row r="126" spans="2:16">
      <c r="B126" s="7" t="str">
        <f t="shared" si="35"/>
        <v/>
      </c>
      <c r="C126" s="50">
        <f>IF(D93="","-",+C125+1)</f>
        <v>2045</v>
      </c>
      <c r="D126" s="12">
        <f>IF(F125+SUM(E$99:E125)=D$92,F125,D$92-SUM(E$99:E125))</f>
        <v>604915.7100000002</v>
      </c>
      <c r="E126" s="354">
        <f t="shared" si="42"/>
        <v>53006</v>
      </c>
      <c r="F126" s="55">
        <f t="shared" si="43"/>
        <v>551909.7100000002</v>
      </c>
      <c r="G126" s="55">
        <f t="shared" si="44"/>
        <v>578412.7100000002</v>
      </c>
      <c r="H126" s="355">
        <f t="shared" si="45"/>
        <v>122196.35691342506</v>
      </c>
      <c r="I126" s="381">
        <f t="shared" si="46"/>
        <v>122196.35691342506</v>
      </c>
      <c r="J126" s="54">
        <f t="shared" si="28"/>
        <v>0</v>
      </c>
      <c r="K126" s="54"/>
      <c r="L126" s="115"/>
      <c r="M126" s="54">
        <f t="shared" si="29"/>
        <v>0</v>
      </c>
      <c r="N126" s="115"/>
      <c r="O126" s="54">
        <f t="shared" si="30"/>
        <v>0</v>
      </c>
      <c r="P126" s="54">
        <f t="shared" si="31"/>
        <v>0</v>
      </c>
    </row>
    <row r="127" spans="2:16">
      <c r="B127" s="7" t="str">
        <f t="shared" si="35"/>
        <v/>
      </c>
      <c r="C127" s="50">
        <f>IF(D93="","-",+C126+1)</f>
        <v>2046</v>
      </c>
      <c r="D127" s="12">
        <f>IF(F126+SUM(E$99:E126)=D$92,F126,D$92-SUM(E$99:E126))</f>
        <v>551909.7100000002</v>
      </c>
      <c r="E127" s="354">
        <f t="shared" si="42"/>
        <v>53006</v>
      </c>
      <c r="F127" s="55">
        <f t="shared" si="43"/>
        <v>498903.7100000002</v>
      </c>
      <c r="G127" s="55">
        <f t="shared" si="44"/>
        <v>525406.7100000002</v>
      </c>
      <c r="H127" s="355">
        <f t="shared" si="45"/>
        <v>115855.7215934422</v>
      </c>
      <c r="I127" s="381">
        <f t="shared" si="46"/>
        <v>115855.7215934422</v>
      </c>
      <c r="J127" s="54">
        <f t="shared" si="28"/>
        <v>0</v>
      </c>
      <c r="K127" s="54"/>
      <c r="L127" s="115"/>
      <c r="M127" s="54">
        <f t="shared" si="29"/>
        <v>0</v>
      </c>
      <c r="N127" s="115"/>
      <c r="O127" s="54">
        <f t="shared" si="30"/>
        <v>0</v>
      </c>
      <c r="P127" s="54">
        <f t="shared" si="31"/>
        <v>0</v>
      </c>
    </row>
    <row r="128" spans="2:16">
      <c r="B128" s="7" t="str">
        <f t="shared" si="35"/>
        <v/>
      </c>
      <c r="C128" s="50">
        <f>IF(D93="","-",+C127+1)</f>
        <v>2047</v>
      </c>
      <c r="D128" s="12">
        <f>IF(F127+SUM(E$99:E127)=D$92,F127,D$92-SUM(E$99:E127))</f>
        <v>498903.7100000002</v>
      </c>
      <c r="E128" s="354">
        <f t="shared" si="42"/>
        <v>53006</v>
      </c>
      <c r="F128" s="55">
        <f t="shared" si="43"/>
        <v>445897.7100000002</v>
      </c>
      <c r="G128" s="55">
        <f t="shared" si="44"/>
        <v>472400.7100000002</v>
      </c>
      <c r="H128" s="355">
        <f t="shared" si="45"/>
        <v>109515.08627345932</v>
      </c>
      <c r="I128" s="381">
        <f t="shared" si="46"/>
        <v>109515.08627345932</v>
      </c>
      <c r="J128" s="54">
        <f t="shared" si="28"/>
        <v>0</v>
      </c>
      <c r="K128" s="54"/>
      <c r="L128" s="115"/>
      <c r="M128" s="54">
        <f t="shared" si="29"/>
        <v>0</v>
      </c>
      <c r="N128" s="115"/>
      <c r="O128" s="54">
        <f t="shared" si="30"/>
        <v>0</v>
      </c>
      <c r="P128" s="54">
        <f t="shared" si="31"/>
        <v>0</v>
      </c>
    </row>
    <row r="129" spans="2:16">
      <c r="B129" s="7" t="str">
        <f t="shared" si="35"/>
        <v/>
      </c>
      <c r="C129" s="50">
        <f>IF(D93="","-",+C128+1)</f>
        <v>2048</v>
      </c>
      <c r="D129" s="12">
        <f>IF(F128+SUM(E$99:E128)=D$92,F128,D$92-SUM(E$99:E128))</f>
        <v>445897.7100000002</v>
      </c>
      <c r="E129" s="354">
        <f t="shared" si="42"/>
        <v>53006</v>
      </c>
      <c r="F129" s="55">
        <f t="shared" si="43"/>
        <v>392891.7100000002</v>
      </c>
      <c r="G129" s="55">
        <f t="shared" si="44"/>
        <v>419394.7100000002</v>
      </c>
      <c r="H129" s="355">
        <f t="shared" si="45"/>
        <v>103174.45095347645</v>
      </c>
      <c r="I129" s="381">
        <f t="shared" si="46"/>
        <v>103174.45095347645</v>
      </c>
      <c r="J129" s="54">
        <f t="shared" si="28"/>
        <v>0</v>
      </c>
      <c r="K129" s="54"/>
      <c r="L129" s="115"/>
      <c r="M129" s="54">
        <f t="shared" si="29"/>
        <v>0</v>
      </c>
      <c r="N129" s="115"/>
      <c r="O129" s="54">
        <f t="shared" si="30"/>
        <v>0</v>
      </c>
      <c r="P129" s="54">
        <f t="shared" si="31"/>
        <v>0</v>
      </c>
    </row>
    <row r="130" spans="2:16">
      <c r="B130" s="7" t="str">
        <f t="shared" si="35"/>
        <v/>
      </c>
      <c r="C130" s="50">
        <f>IF(D93="","-",+C129+1)</f>
        <v>2049</v>
      </c>
      <c r="D130" s="12">
        <f>IF(F129+SUM(E$99:E129)=D$92,F129,D$92-SUM(E$99:E129))</f>
        <v>392891.7100000002</v>
      </c>
      <c r="E130" s="354">
        <f t="shared" si="42"/>
        <v>53006</v>
      </c>
      <c r="F130" s="55">
        <f t="shared" si="43"/>
        <v>339885.7100000002</v>
      </c>
      <c r="G130" s="55">
        <f t="shared" si="44"/>
        <v>366388.7100000002</v>
      </c>
      <c r="H130" s="355">
        <f t="shared" si="45"/>
        <v>96833.815633493592</v>
      </c>
      <c r="I130" s="381">
        <f t="shared" si="46"/>
        <v>96833.815633493592</v>
      </c>
      <c r="J130" s="54">
        <f t="shared" si="28"/>
        <v>0</v>
      </c>
      <c r="K130" s="54"/>
      <c r="L130" s="115"/>
      <c r="M130" s="54">
        <f t="shared" si="29"/>
        <v>0</v>
      </c>
      <c r="N130" s="115"/>
      <c r="O130" s="54">
        <f t="shared" si="30"/>
        <v>0</v>
      </c>
      <c r="P130" s="54">
        <f t="shared" si="31"/>
        <v>0</v>
      </c>
    </row>
    <row r="131" spans="2:16">
      <c r="B131" s="7" t="str">
        <f t="shared" si="35"/>
        <v/>
      </c>
      <c r="C131" s="50">
        <f>IF(D93="","-",+C130+1)</f>
        <v>2050</v>
      </c>
      <c r="D131" s="12">
        <f>IF(F130+SUM(E$99:E130)=D$92,F130,D$92-SUM(E$99:E130))</f>
        <v>339885.7100000002</v>
      </c>
      <c r="E131" s="354">
        <f t="shared" si="42"/>
        <v>53006</v>
      </c>
      <c r="F131" s="55">
        <f t="shared" si="43"/>
        <v>286879.7100000002</v>
      </c>
      <c r="G131" s="55">
        <f t="shared" si="44"/>
        <v>313382.7100000002</v>
      </c>
      <c r="H131" s="355">
        <f t="shared" si="45"/>
        <v>90493.180313510733</v>
      </c>
      <c r="I131" s="381">
        <f t="shared" si="46"/>
        <v>90493.180313510733</v>
      </c>
      <c r="J131" s="54">
        <f t="shared" ref="J131:J154" si="47">+I541-H541</f>
        <v>0</v>
      </c>
      <c r="K131" s="54"/>
      <c r="L131" s="115"/>
      <c r="M131" s="54">
        <f t="shared" ref="M131:M154" si="48">IF(L541&lt;&gt;0,+H541-L541,0)</f>
        <v>0</v>
      </c>
      <c r="N131" s="115"/>
      <c r="O131" s="54">
        <f t="shared" ref="O131:O154" si="49">IF(N541&lt;&gt;0,+I541-N541,0)</f>
        <v>0</v>
      </c>
      <c r="P131" s="54">
        <f t="shared" ref="P131:P154" si="50">+O541-M541</f>
        <v>0</v>
      </c>
    </row>
    <row r="132" spans="2:16">
      <c r="B132" s="7" t="str">
        <f t="shared" si="35"/>
        <v/>
      </c>
      <c r="C132" s="50">
        <f>IF(D93="","-",+C131+1)</f>
        <v>2051</v>
      </c>
      <c r="D132" s="12">
        <f>IF(F131+SUM(E$99:E131)=D$92,F131,D$92-SUM(E$99:E131))</f>
        <v>286879.7100000002</v>
      </c>
      <c r="E132" s="354">
        <f t="shared" si="42"/>
        <v>53006</v>
      </c>
      <c r="F132" s="55">
        <f t="shared" si="43"/>
        <v>233873.7100000002</v>
      </c>
      <c r="G132" s="55">
        <f t="shared" si="44"/>
        <v>260376.7100000002</v>
      </c>
      <c r="H132" s="355">
        <f t="shared" si="45"/>
        <v>84152.544993527859</v>
      </c>
      <c r="I132" s="381">
        <f t="shared" si="46"/>
        <v>84152.544993527859</v>
      </c>
      <c r="J132" s="54">
        <f t="shared" si="47"/>
        <v>0</v>
      </c>
      <c r="K132" s="54"/>
      <c r="L132" s="115"/>
      <c r="M132" s="54">
        <f t="shared" si="48"/>
        <v>0</v>
      </c>
      <c r="N132" s="115"/>
      <c r="O132" s="54">
        <f t="shared" si="49"/>
        <v>0</v>
      </c>
      <c r="P132" s="54">
        <f t="shared" si="50"/>
        <v>0</v>
      </c>
    </row>
    <row r="133" spans="2:16">
      <c r="B133" s="7" t="str">
        <f t="shared" si="35"/>
        <v/>
      </c>
      <c r="C133" s="50">
        <f>IF(D93="","-",+C132+1)</f>
        <v>2052</v>
      </c>
      <c r="D133" s="12">
        <f>IF(F132+SUM(E$99:E132)=D$92,F132,D$92-SUM(E$99:E132))</f>
        <v>233873.7100000002</v>
      </c>
      <c r="E133" s="354">
        <f t="shared" si="42"/>
        <v>53006</v>
      </c>
      <c r="F133" s="55">
        <f t="shared" si="43"/>
        <v>180867.7100000002</v>
      </c>
      <c r="G133" s="55">
        <f t="shared" si="44"/>
        <v>207370.7100000002</v>
      </c>
      <c r="H133" s="355">
        <f t="shared" si="45"/>
        <v>77811.909673544986</v>
      </c>
      <c r="I133" s="381">
        <f t="shared" si="46"/>
        <v>77811.909673544986</v>
      </c>
      <c r="J133" s="54">
        <f t="shared" si="47"/>
        <v>0</v>
      </c>
      <c r="K133" s="54"/>
      <c r="L133" s="115"/>
      <c r="M133" s="54">
        <f t="shared" si="48"/>
        <v>0</v>
      </c>
      <c r="N133" s="115"/>
      <c r="O133" s="54">
        <f t="shared" si="49"/>
        <v>0</v>
      </c>
      <c r="P133" s="54">
        <f t="shared" si="50"/>
        <v>0</v>
      </c>
    </row>
    <row r="134" spans="2:16">
      <c r="B134" s="7" t="str">
        <f t="shared" si="35"/>
        <v/>
      </c>
      <c r="C134" s="50">
        <f>IF(D93="","-",+C133+1)</f>
        <v>2053</v>
      </c>
      <c r="D134" s="12">
        <f>IF(F133+SUM(E$99:E133)=D$92,F133,D$92-SUM(E$99:E133))</f>
        <v>180867.7100000002</v>
      </c>
      <c r="E134" s="354">
        <f t="shared" si="42"/>
        <v>53006</v>
      </c>
      <c r="F134" s="55">
        <f t="shared" si="43"/>
        <v>127861.7100000002</v>
      </c>
      <c r="G134" s="55">
        <f t="shared" si="44"/>
        <v>154364.7100000002</v>
      </c>
      <c r="H134" s="355">
        <f t="shared" si="45"/>
        <v>71471.274353562127</v>
      </c>
      <c r="I134" s="381">
        <f t="shared" si="46"/>
        <v>71471.274353562127</v>
      </c>
      <c r="J134" s="54">
        <f t="shared" si="47"/>
        <v>0</v>
      </c>
      <c r="K134" s="54"/>
      <c r="L134" s="115"/>
      <c r="M134" s="54">
        <f t="shared" si="48"/>
        <v>0</v>
      </c>
      <c r="N134" s="115"/>
      <c r="O134" s="54">
        <f t="shared" si="49"/>
        <v>0</v>
      </c>
      <c r="P134" s="54">
        <f t="shared" si="50"/>
        <v>0</v>
      </c>
    </row>
    <row r="135" spans="2:16">
      <c r="B135" s="7" t="str">
        <f t="shared" si="35"/>
        <v/>
      </c>
      <c r="C135" s="50">
        <f>IF(D93="","-",+C134+1)</f>
        <v>2054</v>
      </c>
      <c r="D135" s="12">
        <f>IF(F134+SUM(E$99:E134)=D$92,F134,D$92-SUM(E$99:E134))</f>
        <v>127861.7100000002</v>
      </c>
      <c r="E135" s="354">
        <f t="shared" si="42"/>
        <v>53006</v>
      </c>
      <c r="F135" s="55">
        <f t="shared" si="43"/>
        <v>74855.710000000196</v>
      </c>
      <c r="G135" s="55">
        <f t="shared" si="44"/>
        <v>101358.7100000002</v>
      </c>
      <c r="H135" s="355">
        <f t="shared" si="45"/>
        <v>65130.639033579253</v>
      </c>
      <c r="I135" s="381">
        <f t="shared" si="46"/>
        <v>65130.639033579253</v>
      </c>
      <c r="J135" s="54">
        <f t="shared" si="47"/>
        <v>0</v>
      </c>
      <c r="K135" s="54"/>
      <c r="L135" s="115"/>
      <c r="M135" s="54">
        <f t="shared" si="48"/>
        <v>0</v>
      </c>
      <c r="N135" s="115"/>
      <c r="O135" s="54">
        <f t="shared" si="49"/>
        <v>0</v>
      </c>
      <c r="P135" s="54">
        <f t="shared" si="50"/>
        <v>0</v>
      </c>
    </row>
    <row r="136" spans="2:16">
      <c r="B136" s="7" t="str">
        <f t="shared" si="35"/>
        <v/>
      </c>
      <c r="C136" s="50">
        <f>IF(D93="","-",+C135+1)</f>
        <v>2055</v>
      </c>
      <c r="D136" s="12">
        <f>IF(F135+SUM(E$99:E135)=D$92,F135,D$92-SUM(E$99:E135))</f>
        <v>74855.710000000196</v>
      </c>
      <c r="E136" s="354">
        <f t="shared" si="42"/>
        <v>53006</v>
      </c>
      <c r="F136" s="55">
        <f t="shared" si="43"/>
        <v>21849.710000000196</v>
      </c>
      <c r="G136" s="55">
        <f t="shared" si="44"/>
        <v>48352.710000000196</v>
      </c>
      <c r="H136" s="355">
        <f t="shared" si="45"/>
        <v>58790.003713596387</v>
      </c>
      <c r="I136" s="381">
        <f t="shared" si="46"/>
        <v>58790.003713596387</v>
      </c>
      <c r="J136" s="54">
        <f t="shared" si="47"/>
        <v>0</v>
      </c>
      <c r="K136" s="54"/>
      <c r="L136" s="115"/>
      <c r="M136" s="54">
        <f t="shared" si="48"/>
        <v>0</v>
      </c>
      <c r="N136" s="115"/>
      <c r="O136" s="54">
        <f t="shared" si="49"/>
        <v>0</v>
      </c>
      <c r="P136" s="54">
        <f t="shared" si="50"/>
        <v>0</v>
      </c>
    </row>
    <row r="137" spans="2:16">
      <c r="B137" s="7" t="str">
        <f t="shared" si="35"/>
        <v/>
      </c>
      <c r="C137" s="50">
        <f>IF(D93="","-",+C136+1)</f>
        <v>2056</v>
      </c>
      <c r="D137" s="12">
        <f>IF(F136+SUM(E$99:E136)=D$92,F136,D$92-SUM(E$99:E136))</f>
        <v>21849.710000000196</v>
      </c>
      <c r="E137" s="354">
        <f t="shared" si="42"/>
        <v>21849.710000000196</v>
      </c>
      <c r="F137" s="55">
        <f t="shared" si="43"/>
        <v>0</v>
      </c>
      <c r="G137" s="55">
        <f t="shared" si="44"/>
        <v>10924.855000000098</v>
      </c>
      <c r="H137" s="355">
        <f t="shared" si="45"/>
        <v>23156.553026802671</v>
      </c>
      <c r="I137" s="381">
        <f t="shared" si="46"/>
        <v>23156.553026802671</v>
      </c>
      <c r="J137" s="54">
        <f t="shared" si="47"/>
        <v>0</v>
      </c>
      <c r="K137" s="54"/>
      <c r="L137" s="115"/>
      <c r="M137" s="54">
        <f t="shared" si="48"/>
        <v>0</v>
      </c>
      <c r="N137" s="115"/>
      <c r="O137" s="54">
        <f t="shared" si="49"/>
        <v>0</v>
      </c>
      <c r="P137" s="54">
        <f t="shared" si="50"/>
        <v>0</v>
      </c>
    </row>
    <row r="138" spans="2:16">
      <c r="B138" s="7" t="str">
        <f t="shared" si="35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42"/>
        <v>0</v>
      </c>
      <c r="F138" s="55">
        <f t="shared" si="43"/>
        <v>0</v>
      </c>
      <c r="G138" s="55">
        <f t="shared" si="44"/>
        <v>0</v>
      </c>
      <c r="H138" s="355">
        <f t="shared" si="45"/>
        <v>0</v>
      </c>
      <c r="I138" s="381">
        <f t="shared" si="46"/>
        <v>0</v>
      </c>
      <c r="J138" s="54">
        <f t="shared" si="47"/>
        <v>0</v>
      </c>
      <c r="K138" s="54"/>
      <c r="L138" s="115"/>
      <c r="M138" s="54">
        <f t="shared" si="48"/>
        <v>0</v>
      </c>
      <c r="N138" s="115"/>
      <c r="O138" s="54">
        <f t="shared" si="49"/>
        <v>0</v>
      </c>
      <c r="P138" s="54">
        <f t="shared" si="50"/>
        <v>0</v>
      </c>
    </row>
    <row r="139" spans="2:16">
      <c r="B139" s="7" t="str">
        <f t="shared" si="35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42"/>
        <v>0</v>
      </c>
      <c r="F139" s="55">
        <f t="shared" si="43"/>
        <v>0</v>
      </c>
      <c r="G139" s="55">
        <f t="shared" si="44"/>
        <v>0</v>
      </c>
      <c r="H139" s="355">
        <f t="shared" si="45"/>
        <v>0</v>
      </c>
      <c r="I139" s="381">
        <f t="shared" si="46"/>
        <v>0</v>
      </c>
      <c r="J139" s="54">
        <f t="shared" si="47"/>
        <v>0</v>
      </c>
      <c r="K139" s="54"/>
      <c r="L139" s="115"/>
      <c r="M139" s="54">
        <f t="shared" si="48"/>
        <v>0</v>
      </c>
      <c r="N139" s="115"/>
      <c r="O139" s="54">
        <f t="shared" si="49"/>
        <v>0</v>
      </c>
      <c r="P139" s="54">
        <f t="shared" si="50"/>
        <v>0</v>
      </c>
    </row>
    <row r="140" spans="2:16">
      <c r="B140" s="7" t="str">
        <f t="shared" si="35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42"/>
        <v>0</v>
      </c>
      <c r="F140" s="55">
        <f t="shared" si="43"/>
        <v>0</v>
      </c>
      <c r="G140" s="55">
        <f t="shared" si="44"/>
        <v>0</v>
      </c>
      <c r="H140" s="355">
        <f t="shared" si="45"/>
        <v>0</v>
      </c>
      <c r="I140" s="381">
        <f t="shared" si="46"/>
        <v>0</v>
      </c>
      <c r="J140" s="54">
        <f t="shared" si="47"/>
        <v>0</v>
      </c>
      <c r="K140" s="54"/>
      <c r="L140" s="115"/>
      <c r="M140" s="54">
        <f t="shared" si="48"/>
        <v>0</v>
      </c>
      <c r="N140" s="115"/>
      <c r="O140" s="54">
        <f t="shared" si="49"/>
        <v>0</v>
      </c>
      <c r="P140" s="54">
        <f t="shared" si="50"/>
        <v>0</v>
      </c>
    </row>
    <row r="141" spans="2:16">
      <c r="B141" s="7" t="str">
        <f t="shared" si="35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42"/>
        <v>0</v>
      </c>
      <c r="F141" s="55">
        <f t="shared" si="43"/>
        <v>0</v>
      </c>
      <c r="G141" s="55">
        <f t="shared" si="44"/>
        <v>0</v>
      </c>
      <c r="H141" s="355">
        <f t="shared" si="45"/>
        <v>0</v>
      </c>
      <c r="I141" s="381">
        <f t="shared" si="46"/>
        <v>0</v>
      </c>
      <c r="J141" s="54">
        <f t="shared" si="47"/>
        <v>0</v>
      </c>
      <c r="K141" s="54"/>
      <c r="L141" s="115"/>
      <c r="M141" s="54">
        <f t="shared" si="48"/>
        <v>0</v>
      </c>
      <c r="N141" s="115"/>
      <c r="O141" s="54">
        <f t="shared" si="49"/>
        <v>0</v>
      </c>
      <c r="P141" s="54">
        <f t="shared" si="50"/>
        <v>0</v>
      </c>
    </row>
    <row r="142" spans="2:16">
      <c r="B142" s="7" t="str">
        <f t="shared" si="35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42"/>
        <v>0</v>
      </c>
      <c r="F142" s="55">
        <f t="shared" si="43"/>
        <v>0</v>
      </c>
      <c r="G142" s="55">
        <f t="shared" si="44"/>
        <v>0</v>
      </c>
      <c r="H142" s="355">
        <f t="shared" si="45"/>
        <v>0</v>
      </c>
      <c r="I142" s="381">
        <f t="shared" si="46"/>
        <v>0</v>
      </c>
      <c r="J142" s="54">
        <f t="shared" si="47"/>
        <v>0</v>
      </c>
      <c r="K142" s="54"/>
      <c r="L142" s="115"/>
      <c r="M142" s="54">
        <f t="shared" si="48"/>
        <v>0</v>
      </c>
      <c r="N142" s="115"/>
      <c r="O142" s="54">
        <f t="shared" si="49"/>
        <v>0</v>
      </c>
      <c r="P142" s="54">
        <f t="shared" si="50"/>
        <v>0</v>
      </c>
    </row>
    <row r="143" spans="2:16">
      <c r="B143" s="7" t="str">
        <f t="shared" si="35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42"/>
        <v>0</v>
      </c>
      <c r="F143" s="55">
        <f t="shared" si="43"/>
        <v>0</v>
      </c>
      <c r="G143" s="55">
        <f t="shared" si="44"/>
        <v>0</v>
      </c>
      <c r="H143" s="355">
        <f t="shared" si="45"/>
        <v>0</v>
      </c>
      <c r="I143" s="381">
        <f t="shared" si="46"/>
        <v>0</v>
      </c>
      <c r="J143" s="54">
        <f t="shared" si="47"/>
        <v>0</v>
      </c>
      <c r="K143" s="54"/>
      <c r="L143" s="115"/>
      <c r="M143" s="54">
        <f t="shared" si="48"/>
        <v>0</v>
      </c>
      <c r="N143" s="115"/>
      <c r="O143" s="54">
        <f t="shared" si="49"/>
        <v>0</v>
      </c>
      <c r="P143" s="54">
        <f t="shared" si="50"/>
        <v>0</v>
      </c>
    </row>
    <row r="144" spans="2:16">
      <c r="B144" s="7" t="str">
        <f t="shared" si="35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42"/>
        <v>0</v>
      </c>
      <c r="F144" s="55">
        <f t="shared" si="43"/>
        <v>0</v>
      </c>
      <c r="G144" s="55">
        <f t="shared" si="44"/>
        <v>0</v>
      </c>
      <c r="H144" s="355">
        <f t="shared" si="45"/>
        <v>0</v>
      </c>
      <c r="I144" s="381">
        <f t="shared" si="46"/>
        <v>0</v>
      </c>
      <c r="J144" s="54">
        <f t="shared" si="47"/>
        <v>0</v>
      </c>
      <c r="K144" s="54"/>
      <c r="L144" s="115"/>
      <c r="M144" s="54">
        <f t="shared" si="48"/>
        <v>0</v>
      </c>
      <c r="N144" s="115"/>
      <c r="O144" s="54">
        <f t="shared" si="49"/>
        <v>0</v>
      </c>
      <c r="P144" s="54">
        <f t="shared" si="50"/>
        <v>0</v>
      </c>
    </row>
    <row r="145" spans="2:16">
      <c r="B145" s="7" t="str">
        <f t="shared" si="35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42"/>
        <v>0</v>
      </c>
      <c r="F145" s="55">
        <f t="shared" si="43"/>
        <v>0</v>
      </c>
      <c r="G145" s="55">
        <f t="shared" si="44"/>
        <v>0</v>
      </c>
      <c r="H145" s="355">
        <f t="shared" si="45"/>
        <v>0</v>
      </c>
      <c r="I145" s="381">
        <f t="shared" si="46"/>
        <v>0</v>
      </c>
      <c r="J145" s="54">
        <f t="shared" si="47"/>
        <v>0</v>
      </c>
      <c r="K145" s="54"/>
      <c r="L145" s="115"/>
      <c r="M145" s="54">
        <f t="shared" si="48"/>
        <v>0</v>
      </c>
      <c r="N145" s="115"/>
      <c r="O145" s="54">
        <f t="shared" si="49"/>
        <v>0</v>
      </c>
      <c r="P145" s="54">
        <f t="shared" si="50"/>
        <v>0</v>
      </c>
    </row>
    <row r="146" spans="2:16">
      <c r="B146" s="7" t="str">
        <f t="shared" si="35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42"/>
        <v>0</v>
      </c>
      <c r="F146" s="55">
        <f t="shared" si="43"/>
        <v>0</v>
      </c>
      <c r="G146" s="55">
        <f t="shared" si="44"/>
        <v>0</v>
      </c>
      <c r="H146" s="355">
        <f t="shared" si="45"/>
        <v>0</v>
      </c>
      <c r="I146" s="381">
        <f t="shared" si="46"/>
        <v>0</v>
      </c>
      <c r="J146" s="54">
        <f t="shared" si="47"/>
        <v>0</v>
      </c>
      <c r="K146" s="54"/>
      <c r="L146" s="115"/>
      <c r="M146" s="54">
        <f t="shared" si="48"/>
        <v>0</v>
      </c>
      <c r="N146" s="115"/>
      <c r="O146" s="54">
        <f t="shared" si="49"/>
        <v>0</v>
      </c>
      <c r="P146" s="54">
        <f t="shared" si="50"/>
        <v>0</v>
      </c>
    </row>
    <row r="147" spans="2:16">
      <c r="B147" s="7" t="str">
        <f t="shared" si="35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42"/>
        <v>0</v>
      </c>
      <c r="F147" s="55">
        <f t="shared" si="43"/>
        <v>0</v>
      </c>
      <c r="G147" s="55">
        <f t="shared" si="44"/>
        <v>0</v>
      </c>
      <c r="H147" s="355">
        <f t="shared" si="45"/>
        <v>0</v>
      </c>
      <c r="I147" s="381">
        <f t="shared" si="46"/>
        <v>0</v>
      </c>
      <c r="J147" s="54">
        <f t="shared" si="47"/>
        <v>0</v>
      </c>
      <c r="K147" s="54"/>
      <c r="L147" s="115"/>
      <c r="M147" s="54">
        <f t="shared" si="48"/>
        <v>0</v>
      </c>
      <c r="N147" s="115"/>
      <c r="O147" s="54">
        <f t="shared" si="49"/>
        <v>0</v>
      </c>
      <c r="P147" s="54">
        <f t="shared" si="50"/>
        <v>0</v>
      </c>
    </row>
    <row r="148" spans="2:16">
      <c r="B148" s="7" t="str">
        <f t="shared" si="35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42"/>
        <v>0</v>
      </c>
      <c r="F148" s="55">
        <f t="shared" si="43"/>
        <v>0</v>
      </c>
      <c r="G148" s="55">
        <f t="shared" si="44"/>
        <v>0</v>
      </c>
      <c r="H148" s="355">
        <f t="shared" si="45"/>
        <v>0</v>
      </c>
      <c r="I148" s="381">
        <f t="shared" si="46"/>
        <v>0</v>
      </c>
      <c r="J148" s="54">
        <f t="shared" si="47"/>
        <v>0</v>
      </c>
      <c r="K148" s="54"/>
      <c r="L148" s="115"/>
      <c r="M148" s="54">
        <f t="shared" si="48"/>
        <v>0</v>
      </c>
      <c r="N148" s="115"/>
      <c r="O148" s="54">
        <f t="shared" si="49"/>
        <v>0</v>
      </c>
      <c r="P148" s="54">
        <f t="shared" si="50"/>
        <v>0</v>
      </c>
    </row>
    <row r="149" spans="2:16">
      <c r="B149" s="7" t="str">
        <f t="shared" si="35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42"/>
        <v>0</v>
      </c>
      <c r="F149" s="55">
        <f t="shared" si="43"/>
        <v>0</v>
      </c>
      <c r="G149" s="55">
        <f t="shared" si="44"/>
        <v>0</v>
      </c>
      <c r="H149" s="355">
        <f t="shared" si="45"/>
        <v>0</v>
      </c>
      <c r="I149" s="381">
        <f t="shared" si="46"/>
        <v>0</v>
      </c>
      <c r="J149" s="54">
        <f t="shared" si="47"/>
        <v>0</v>
      </c>
      <c r="K149" s="54"/>
      <c r="L149" s="115"/>
      <c r="M149" s="54">
        <f t="shared" si="48"/>
        <v>0</v>
      </c>
      <c r="N149" s="115"/>
      <c r="O149" s="54">
        <f t="shared" si="49"/>
        <v>0</v>
      </c>
      <c r="P149" s="54">
        <f t="shared" si="50"/>
        <v>0</v>
      </c>
    </row>
    <row r="150" spans="2:16">
      <c r="B150" s="7" t="str">
        <f t="shared" si="35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42"/>
        <v>0</v>
      </c>
      <c r="F150" s="55">
        <f t="shared" si="43"/>
        <v>0</v>
      </c>
      <c r="G150" s="55">
        <f t="shared" si="44"/>
        <v>0</v>
      </c>
      <c r="H150" s="355">
        <f t="shared" si="45"/>
        <v>0</v>
      </c>
      <c r="I150" s="381">
        <f t="shared" si="46"/>
        <v>0</v>
      </c>
      <c r="J150" s="54">
        <f t="shared" si="47"/>
        <v>0</v>
      </c>
      <c r="K150" s="54"/>
      <c r="L150" s="115"/>
      <c r="M150" s="54">
        <f t="shared" si="48"/>
        <v>0</v>
      </c>
      <c r="N150" s="115"/>
      <c r="O150" s="54">
        <f t="shared" si="49"/>
        <v>0</v>
      </c>
      <c r="P150" s="54">
        <f t="shared" si="50"/>
        <v>0</v>
      </c>
    </row>
    <row r="151" spans="2:16">
      <c r="B151" s="7" t="str">
        <f t="shared" si="35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42"/>
        <v>0</v>
      </c>
      <c r="F151" s="55">
        <f t="shared" si="43"/>
        <v>0</v>
      </c>
      <c r="G151" s="55">
        <f t="shared" si="44"/>
        <v>0</v>
      </c>
      <c r="H151" s="355">
        <f t="shared" si="45"/>
        <v>0</v>
      </c>
      <c r="I151" s="381">
        <f t="shared" si="46"/>
        <v>0</v>
      </c>
      <c r="J151" s="54">
        <f t="shared" si="47"/>
        <v>0</v>
      </c>
      <c r="K151" s="54"/>
      <c r="L151" s="115"/>
      <c r="M151" s="54">
        <f t="shared" si="48"/>
        <v>0</v>
      </c>
      <c r="N151" s="115"/>
      <c r="O151" s="54">
        <f t="shared" si="49"/>
        <v>0</v>
      </c>
      <c r="P151" s="54">
        <f t="shared" si="50"/>
        <v>0</v>
      </c>
    </row>
    <row r="152" spans="2:16">
      <c r="B152" s="7" t="str">
        <f t="shared" si="35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42"/>
        <v>0</v>
      </c>
      <c r="F152" s="55">
        <f t="shared" si="43"/>
        <v>0</v>
      </c>
      <c r="G152" s="55">
        <f t="shared" si="44"/>
        <v>0</v>
      </c>
      <c r="H152" s="355">
        <f t="shared" si="45"/>
        <v>0</v>
      </c>
      <c r="I152" s="381">
        <f t="shared" si="46"/>
        <v>0</v>
      </c>
      <c r="J152" s="54">
        <f t="shared" si="47"/>
        <v>0</v>
      </c>
      <c r="K152" s="54"/>
      <c r="L152" s="115"/>
      <c r="M152" s="54">
        <f t="shared" si="48"/>
        <v>0</v>
      </c>
      <c r="N152" s="115"/>
      <c r="O152" s="54">
        <f t="shared" si="49"/>
        <v>0</v>
      </c>
      <c r="P152" s="54">
        <f t="shared" si="50"/>
        <v>0</v>
      </c>
    </row>
    <row r="153" spans="2:16">
      <c r="B153" s="7" t="str">
        <f t="shared" si="35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42"/>
        <v>0</v>
      </c>
      <c r="F153" s="55">
        <f t="shared" si="43"/>
        <v>0</v>
      </c>
      <c r="G153" s="55">
        <f t="shared" si="44"/>
        <v>0</v>
      </c>
      <c r="H153" s="355">
        <f t="shared" si="45"/>
        <v>0</v>
      </c>
      <c r="I153" s="381">
        <f t="shared" si="46"/>
        <v>0</v>
      </c>
      <c r="J153" s="54">
        <f t="shared" si="47"/>
        <v>0</v>
      </c>
      <c r="K153" s="54"/>
      <c r="L153" s="115"/>
      <c r="M153" s="54">
        <f t="shared" si="48"/>
        <v>0</v>
      </c>
      <c r="N153" s="115"/>
      <c r="O153" s="54">
        <f t="shared" si="49"/>
        <v>0</v>
      </c>
      <c r="P153" s="54">
        <f t="shared" si="50"/>
        <v>0</v>
      </c>
    </row>
    <row r="154" spans="2:16" ht="13.5" thickBot="1">
      <c r="B154" s="7" t="str">
        <f t="shared" si="35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42"/>
        <v>0</v>
      </c>
      <c r="F154" s="59">
        <f t="shared" si="43"/>
        <v>0</v>
      </c>
      <c r="G154" s="59">
        <f t="shared" si="44"/>
        <v>0</v>
      </c>
      <c r="H154" s="435">
        <f t="shared" ref="H154" si="51">+J$94*G154+E154</f>
        <v>0</v>
      </c>
      <c r="I154" s="436">
        <f t="shared" ref="I154" si="52">+J$95*G154+E154</f>
        <v>0</v>
      </c>
      <c r="J154" s="62">
        <f t="shared" si="47"/>
        <v>0</v>
      </c>
      <c r="K154" s="54"/>
      <c r="L154" s="116"/>
      <c r="M154" s="62">
        <f t="shared" si="48"/>
        <v>0</v>
      </c>
      <c r="N154" s="116"/>
      <c r="O154" s="62">
        <f t="shared" si="49"/>
        <v>0</v>
      </c>
      <c r="P154" s="62">
        <f t="shared" si="50"/>
        <v>0</v>
      </c>
    </row>
    <row r="155" spans="2:16">
      <c r="C155" s="12" t="s">
        <v>77</v>
      </c>
      <c r="D155" s="266"/>
      <c r="E155" s="266">
        <f>SUM(E99:E154)</f>
        <v>1961220.7100000002</v>
      </c>
      <c r="F155" s="266"/>
      <c r="G155" s="266"/>
      <c r="H155" s="266">
        <f>SUM(H99:H154)</f>
        <v>6414248.1127092391</v>
      </c>
      <c r="I155" s="266">
        <f>SUM(I99:I154)</f>
        <v>6414248.1127092391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5" priority="1" stopIfTrue="1" operator="equal">
      <formula>$I$10</formula>
    </cfRule>
  </conditionalFormatting>
  <conditionalFormatting sqref="C99:C154">
    <cfRule type="cellIs" dxfId="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0"/>
  <dimension ref="A1:P162"/>
  <sheetViews>
    <sheetView topLeftCell="A77" zoomScaleNormal="100" zoomScaleSheetLayoutView="78" workbookViewId="0">
      <selection activeCell="E103" sqref="E103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21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39455.576940392195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39455.576940392195</v>
      </c>
      <c r="O6" s="1"/>
      <c r="P6" s="1"/>
    </row>
    <row r="7" spans="1:16" ht="13.5" thickBot="1">
      <c r="C7" s="26" t="s">
        <v>46</v>
      </c>
      <c r="D7" s="88" t="s">
        <v>274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295</v>
      </c>
      <c r="E9" s="404" t="s">
        <v>296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330872.36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8707.1673684210527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2017</v>
      </c>
      <c r="D17" s="411">
        <v>0</v>
      </c>
      <c r="E17" s="432">
        <v>2847.8260869565215</v>
      </c>
      <c r="F17" s="411">
        <v>259152.17391304349</v>
      </c>
      <c r="G17" s="432">
        <v>19337.763747649027</v>
      </c>
      <c r="H17" s="414">
        <v>19337.763747649027</v>
      </c>
      <c r="I17" s="52">
        <f t="shared" ref="I17:I72" si="0">H17-G17</f>
        <v>0</v>
      </c>
      <c r="J17" s="52"/>
      <c r="K17" s="53">
        <f t="shared" ref="K17:K22" si="1">+G17</f>
        <v>19337.763747649027</v>
      </c>
      <c r="L17" s="53">
        <f t="shared" ref="L17:L72" si="2">IF(K17&lt;&gt;0,+G17-K17,0)</f>
        <v>0</v>
      </c>
      <c r="M17" s="53">
        <f t="shared" ref="M17:M22" si="3">+H17</f>
        <v>19337.763747649027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2018</v>
      </c>
      <c r="D18" s="411">
        <v>259152.17391304349</v>
      </c>
      <c r="E18" s="412">
        <v>5822.2222222222226</v>
      </c>
      <c r="F18" s="411">
        <v>253329.95169082127</v>
      </c>
      <c r="G18" s="412">
        <v>36509.380469214986</v>
      </c>
      <c r="H18" s="414">
        <v>36509.380469214986</v>
      </c>
      <c r="I18" s="52">
        <f t="shared" si="0"/>
        <v>0</v>
      </c>
      <c r="J18" s="52"/>
      <c r="K18" s="54">
        <f t="shared" si="1"/>
        <v>36509.380469214986</v>
      </c>
      <c r="L18" s="54">
        <f t="shared" si="2"/>
        <v>0</v>
      </c>
      <c r="M18" s="54">
        <f t="shared" si="3"/>
        <v>36509.380469214986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/>
      </c>
      <c r="C19" s="50">
        <f>IF(D11="","-",+C18+1)</f>
        <v>2019</v>
      </c>
      <c r="D19" s="411">
        <v>253329.95169082127</v>
      </c>
      <c r="E19" s="412">
        <v>6550</v>
      </c>
      <c r="F19" s="411">
        <v>246779.95169082127</v>
      </c>
      <c r="G19" s="412">
        <v>34470.293545069071</v>
      </c>
      <c r="H19" s="414">
        <v>34470.293545069071</v>
      </c>
      <c r="I19" s="52">
        <f t="shared" si="0"/>
        <v>0</v>
      </c>
      <c r="J19" s="52"/>
      <c r="K19" s="54">
        <f t="shared" si="1"/>
        <v>34470.293545069071</v>
      </c>
      <c r="L19" s="54">
        <f t="shared" ref="L19" si="6">IF(K19&lt;&gt;0,+G19-K19,0)</f>
        <v>0</v>
      </c>
      <c r="M19" s="54">
        <f t="shared" si="3"/>
        <v>34470.293545069071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2020</v>
      </c>
      <c r="D20" s="411">
        <v>316379.72946859902</v>
      </c>
      <c r="E20" s="412">
        <v>7877.9047619047615</v>
      </c>
      <c r="F20" s="411">
        <v>308501.82470669429</v>
      </c>
      <c r="G20" s="412">
        <v>41623.00118882845</v>
      </c>
      <c r="H20" s="414">
        <v>41623.00118882845</v>
      </c>
      <c r="I20" s="52">
        <f t="shared" si="0"/>
        <v>0</v>
      </c>
      <c r="J20" s="52"/>
      <c r="K20" s="54">
        <f t="shared" si="1"/>
        <v>41623.00118882845</v>
      </c>
      <c r="L20" s="54">
        <f t="shared" ref="L20" si="8">IF(K20&lt;&gt;0,+G20-K20,0)</f>
        <v>0</v>
      </c>
      <c r="M20" s="54">
        <f t="shared" si="3"/>
        <v>41623.00118882845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2021</v>
      </c>
      <c r="D21" s="411">
        <v>307774.04692891648</v>
      </c>
      <c r="E21" s="412">
        <v>7694.6976744186049</v>
      </c>
      <c r="F21" s="411">
        <v>300079.34925449785</v>
      </c>
      <c r="G21" s="412">
        <v>40464.576318636115</v>
      </c>
      <c r="H21" s="414">
        <v>40464.576318636115</v>
      </c>
      <c r="I21" s="52">
        <f t="shared" si="0"/>
        <v>0</v>
      </c>
      <c r="J21" s="52"/>
      <c r="K21" s="54">
        <f t="shared" si="1"/>
        <v>40464.576318636115</v>
      </c>
      <c r="L21" s="54">
        <f t="shared" ref="L21" si="9">IF(K21&lt;&gt;0,+G21-K21,0)</f>
        <v>0</v>
      </c>
      <c r="M21" s="54">
        <f t="shared" si="3"/>
        <v>40464.576318636115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/>
      </c>
      <c r="C22" s="50">
        <f>IF(D11="","-",+C21+1)</f>
        <v>2022</v>
      </c>
      <c r="D22" s="411">
        <v>300079.34925449785</v>
      </c>
      <c r="E22" s="412">
        <v>7877.9047619047615</v>
      </c>
      <c r="F22" s="411">
        <v>292201.44449259312</v>
      </c>
      <c r="G22" s="412">
        <v>39805.169882695685</v>
      </c>
      <c r="H22" s="414">
        <v>39805.169882695685</v>
      </c>
      <c r="I22" s="52">
        <f t="shared" si="0"/>
        <v>0</v>
      </c>
      <c r="J22" s="52"/>
      <c r="K22" s="54">
        <f t="shared" si="1"/>
        <v>39805.169882695685</v>
      </c>
      <c r="L22" s="54">
        <f t="shared" ref="L22" si="10">IF(K22&lt;&gt;0,+G22-K22,0)</f>
        <v>0</v>
      </c>
      <c r="M22" s="54">
        <f t="shared" si="3"/>
        <v>39805.169882695685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2023</v>
      </c>
      <c r="D23" s="411">
        <v>292201.8044925931</v>
      </c>
      <c r="E23" s="412">
        <v>8483.9066666666658</v>
      </c>
      <c r="F23" s="411">
        <v>283717.89782592643</v>
      </c>
      <c r="G23" s="412">
        <v>42854.492332323091</v>
      </c>
      <c r="H23" s="414">
        <v>42854.492332323091</v>
      </c>
      <c r="I23" s="52">
        <f t="shared" si="0"/>
        <v>0</v>
      </c>
      <c r="J23" s="52"/>
      <c r="K23" s="54">
        <f t="shared" ref="K23" si="11">+G23</f>
        <v>42854.492332323091</v>
      </c>
      <c r="L23" s="54">
        <f t="shared" ref="L23" si="12">IF(K23&lt;&gt;0,+G23-K23,0)</f>
        <v>0</v>
      </c>
      <c r="M23" s="54">
        <f t="shared" ref="M23" si="13">+H23</f>
        <v>42854.492332323091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/>
      </c>
      <c r="C24" s="50">
        <f>IF(D11="","-",+C23+1)</f>
        <v>2024</v>
      </c>
      <c r="D24" s="411">
        <v>283717.89782592643</v>
      </c>
      <c r="E24" s="412">
        <v>8707.1673684210527</v>
      </c>
      <c r="F24" s="411">
        <v>275010.73045750539</v>
      </c>
      <c r="G24" s="412">
        <v>40482.116861943046</v>
      </c>
      <c r="H24" s="414">
        <v>40482.116861943046</v>
      </c>
      <c r="I24" s="52">
        <f t="shared" si="0"/>
        <v>0</v>
      </c>
      <c r="J24" s="52"/>
      <c r="K24" s="54">
        <f t="shared" ref="K24" si="14">+G24</f>
        <v>40482.116861943046</v>
      </c>
      <c r="L24" s="54">
        <f t="shared" ref="L24" si="15">IF(K24&lt;&gt;0,+G24-K24,0)</f>
        <v>0</v>
      </c>
      <c r="M24" s="54">
        <f t="shared" ref="M24" si="16">+H24</f>
        <v>40482.116861943046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>
      <c r="B25" s="7" t="str">
        <f t="shared" si="7"/>
        <v/>
      </c>
      <c r="C25" s="50">
        <f>IF(D11="","-",+C24+1)</f>
        <v>2025</v>
      </c>
      <c r="D25" s="411">
        <v>275010.73045750539</v>
      </c>
      <c r="E25" s="412">
        <v>8707.1673684210527</v>
      </c>
      <c r="F25" s="411">
        <v>266303.56308908435</v>
      </c>
      <c r="G25" s="412">
        <v>39455.576940392195</v>
      </c>
      <c r="H25" s="414">
        <v>39455.576940392195</v>
      </c>
      <c r="I25" s="52">
        <f t="shared" si="0"/>
        <v>0</v>
      </c>
      <c r="J25" s="52"/>
      <c r="K25" s="54">
        <f t="shared" ref="K25" si="19">+G25</f>
        <v>39455.576940392195</v>
      </c>
      <c r="L25" s="54">
        <f t="shared" ref="L25" si="20">IF(K25&lt;&gt;0,+G25-K25,0)</f>
        <v>0</v>
      </c>
      <c r="M25" s="54">
        <f t="shared" ref="M25" si="21">+H25</f>
        <v>39455.576940392195</v>
      </c>
      <c r="N25" s="54">
        <f t="shared" ref="N25" si="22">IF(M25&lt;&gt;0,+H25-M25,0)</f>
        <v>0</v>
      </c>
      <c r="O25" s="54">
        <f t="shared" ref="O25" si="23">+N25-L25</f>
        <v>0</v>
      </c>
      <c r="P25" s="1"/>
    </row>
    <row r="26" spans="2:16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266303.56308908435</v>
      </c>
      <c r="E26" s="354">
        <f t="shared" ref="E26:E72" si="24">IF(+I$14&lt;F25,I$14,D26)</f>
        <v>8707.1673684210527</v>
      </c>
      <c r="F26" s="55">
        <f t="shared" ref="F26:F72" si="25">+D26-E26</f>
        <v>257596.39572066331</v>
      </c>
      <c r="G26" s="355">
        <f t="shared" ref="G26:G72" si="26">(D26+F26)/2*I$12+E26</f>
        <v>38466.38618135354</v>
      </c>
      <c r="H26" s="336">
        <f t="shared" ref="H26:H72" si="27">+(D26+F26)/2*I$13+E26</f>
        <v>38466.38618135354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257596.39572066331</v>
      </c>
      <c r="E27" s="354">
        <f t="shared" si="24"/>
        <v>8707.1673684210527</v>
      </c>
      <c r="F27" s="55">
        <f t="shared" si="25"/>
        <v>248889.22835224227</v>
      </c>
      <c r="G27" s="355">
        <f t="shared" si="26"/>
        <v>37477.195422314886</v>
      </c>
      <c r="H27" s="336">
        <f t="shared" si="27"/>
        <v>37477.195422314886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248889.22835224227</v>
      </c>
      <c r="E28" s="354">
        <f t="shared" si="24"/>
        <v>8707.1673684210527</v>
      </c>
      <c r="F28" s="55">
        <f t="shared" si="25"/>
        <v>240182.06098382123</v>
      </c>
      <c r="G28" s="355">
        <f t="shared" si="26"/>
        <v>36488.004663276231</v>
      </c>
      <c r="H28" s="336">
        <f t="shared" si="27"/>
        <v>36488.004663276231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240182.06098382123</v>
      </c>
      <c r="E29" s="354">
        <f t="shared" si="24"/>
        <v>8707.1673684210527</v>
      </c>
      <c r="F29" s="55">
        <f t="shared" si="25"/>
        <v>231474.89361540019</v>
      </c>
      <c r="G29" s="355">
        <f t="shared" si="26"/>
        <v>35498.81390423757</v>
      </c>
      <c r="H29" s="336">
        <f t="shared" si="27"/>
        <v>35498.81390423757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231474.89361540019</v>
      </c>
      <c r="E30" s="354">
        <f t="shared" si="24"/>
        <v>8707.1673684210527</v>
      </c>
      <c r="F30" s="55">
        <f t="shared" si="25"/>
        <v>222767.72624697915</v>
      </c>
      <c r="G30" s="355">
        <f t="shared" si="26"/>
        <v>34509.623145198915</v>
      </c>
      <c r="H30" s="336">
        <f t="shared" si="27"/>
        <v>34509.623145198915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222767.72624697915</v>
      </c>
      <c r="E31" s="354">
        <f t="shared" si="24"/>
        <v>8707.1673684210527</v>
      </c>
      <c r="F31" s="55">
        <f t="shared" si="25"/>
        <v>214060.55887855811</v>
      </c>
      <c r="G31" s="355">
        <f t="shared" si="26"/>
        <v>33520.432386160261</v>
      </c>
      <c r="H31" s="336">
        <f t="shared" si="27"/>
        <v>33520.432386160261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214060.55887855811</v>
      </c>
      <c r="E32" s="354">
        <f t="shared" si="24"/>
        <v>8707.1673684210527</v>
      </c>
      <c r="F32" s="55">
        <f t="shared" si="25"/>
        <v>205353.39151013707</v>
      </c>
      <c r="G32" s="355">
        <f t="shared" si="26"/>
        <v>32531.241627121606</v>
      </c>
      <c r="H32" s="336">
        <f t="shared" si="27"/>
        <v>32531.241627121606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205353.39151013707</v>
      </c>
      <c r="E33" s="354">
        <f t="shared" si="24"/>
        <v>8707.1673684210527</v>
      </c>
      <c r="F33" s="55">
        <f t="shared" si="25"/>
        <v>196646.22414171603</v>
      </c>
      <c r="G33" s="355">
        <f t="shared" si="26"/>
        <v>31542.050868082952</v>
      </c>
      <c r="H33" s="336">
        <f t="shared" si="27"/>
        <v>31542.050868082952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196646.22414171603</v>
      </c>
      <c r="E34" s="354">
        <f t="shared" si="24"/>
        <v>8707.1673684210527</v>
      </c>
      <c r="F34" s="55">
        <f t="shared" si="25"/>
        <v>187939.05677329499</v>
      </c>
      <c r="G34" s="355">
        <f t="shared" si="26"/>
        <v>30552.860109044297</v>
      </c>
      <c r="H34" s="336">
        <f t="shared" si="27"/>
        <v>30552.860109044297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187939.05677329499</v>
      </c>
      <c r="E35" s="354">
        <f t="shared" si="24"/>
        <v>8707.1673684210527</v>
      </c>
      <c r="F35" s="55">
        <f t="shared" si="25"/>
        <v>179231.88940487395</v>
      </c>
      <c r="G35" s="355">
        <f t="shared" si="26"/>
        <v>29563.669350005643</v>
      </c>
      <c r="H35" s="336">
        <f t="shared" si="27"/>
        <v>29563.669350005643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179231.88940487395</v>
      </c>
      <c r="E36" s="354">
        <f t="shared" si="24"/>
        <v>8707.1673684210527</v>
      </c>
      <c r="F36" s="55">
        <f t="shared" si="25"/>
        <v>170524.72203645291</v>
      </c>
      <c r="G36" s="355">
        <f t="shared" si="26"/>
        <v>28574.478590966988</v>
      </c>
      <c r="H36" s="336">
        <f t="shared" si="27"/>
        <v>28574.478590966988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170524.72203645291</v>
      </c>
      <c r="E37" s="354">
        <f t="shared" si="24"/>
        <v>8707.1673684210527</v>
      </c>
      <c r="F37" s="55">
        <f t="shared" si="25"/>
        <v>161817.55466803187</v>
      </c>
      <c r="G37" s="355">
        <f t="shared" si="26"/>
        <v>27585.287831928334</v>
      </c>
      <c r="H37" s="336">
        <f t="shared" si="27"/>
        <v>27585.287831928334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161817.55466803187</v>
      </c>
      <c r="E38" s="354">
        <f t="shared" si="24"/>
        <v>8707.1673684210527</v>
      </c>
      <c r="F38" s="55">
        <f t="shared" si="25"/>
        <v>153110.38729961083</v>
      </c>
      <c r="G38" s="355">
        <f t="shared" si="26"/>
        <v>26596.097072889672</v>
      </c>
      <c r="H38" s="336">
        <f t="shared" si="27"/>
        <v>26596.097072889672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153110.38729961083</v>
      </c>
      <c r="E39" s="354">
        <f t="shared" si="24"/>
        <v>8707.1673684210527</v>
      </c>
      <c r="F39" s="55">
        <f t="shared" si="25"/>
        <v>144403.21993118979</v>
      </c>
      <c r="G39" s="355">
        <f t="shared" si="26"/>
        <v>25606.906313851017</v>
      </c>
      <c r="H39" s="336">
        <f t="shared" si="27"/>
        <v>25606.906313851017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144403.21993118979</v>
      </c>
      <c r="E40" s="354">
        <f t="shared" si="24"/>
        <v>8707.1673684210527</v>
      </c>
      <c r="F40" s="55">
        <f t="shared" si="25"/>
        <v>135696.05256276875</v>
      </c>
      <c r="G40" s="355">
        <f t="shared" si="26"/>
        <v>24617.715554812363</v>
      </c>
      <c r="H40" s="336">
        <f t="shared" si="27"/>
        <v>24617.715554812363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135696.05256276875</v>
      </c>
      <c r="E41" s="354">
        <f t="shared" si="24"/>
        <v>8707.1673684210527</v>
      </c>
      <c r="F41" s="55">
        <f t="shared" si="25"/>
        <v>126988.88519434769</v>
      </c>
      <c r="G41" s="355">
        <f t="shared" si="26"/>
        <v>23628.524795773708</v>
      </c>
      <c r="H41" s="336">
        <f t="shared" si="27"/>
        <v>23628.524795773708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126988.88519434769</v>
      </c>
      <c r="E42" s="354">
        <f t="shared" si="24"/>
        <v>8707.1673684210527</v>
      </c>
      <c r="F42" s="55">
        <f t="shared" si="25"/>
        <v>118281.71782592664</v>
      </c>
      <c r="G42" s="355">
        <f t="shared" si="26"/>
        <v>22639.33403673505</v>
      </c>
      <c r="H42" s="336">
        <f t="shared" si="27"/>
        <v>22639.33403673505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118281.71782592664</v>
      </c>
      <c r="E43" s="354">
        <f t="shared" si="24"/>
        <v>8707.1673684210527</v>
      </c>
      <c r="F43" s="55">
        <f t="shared" si="25"/>
        <v>109574.55045750558</v>
      </c>
      <c r="G43" s="355">
        <f t="shared" si="26"/>
        <v>21650.143277696396</v>
      </c>
      <c r="H43" s="336">
        <f t="shared" si="27"/>
        <v>21650.143277696396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109574.55045750558</v>
      </c>
      <c r="E44" s="354">
        <f t="shared" si="24"/>
        <v>8707.1673684210527</v>
      </c>
      <c r="F44" s="55">
        <f t="shared" si="25"/>
        <v>100867.38308908453</v>
      </c>
      <c r="G44" s="355">
        <f t="shared" si="26"/>
        <v>20660.952518657738</v>
      </c>
      <c r="H44" s="336">
        <f t="shared" si="27"/>
        <v>20660.952518657738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100867.38308908453</v>
      </c>
      <c r="E45" s="354">
        <f t="shared" si="24"/>
        <v>8707.1673684210527</v>
      </c>
      <c r="F45" s="55">
        <f t="shared" si="25"/>
        <v>92160.215720663473</v>
      </c>
      <c r="G45" s="355">
        <f t="shared" si="26"/>
        <v>19671.761759619083</v>
      </c>
      <c r="H45" s="336">
        <f t="shared" si="27"/>
        <v>19671.761759619083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92160.215720663473</v>
      </c>
      <c r="E46" s="354">
        <f t="shared" si="24"/>
        <v>8707.1673684210527</v>
      </c>
      <c r="F46" s="55">
        <f t="shared" si="25"/>
        <v>83453.048352242418</v>
      </c>
      <c r="G46" s="355">
        <f t="shared" si="26"/>
        <v>18682.571000580421</v>
      </c>
      <c r="H46" s="336">
        <f t="shared" si="27"/>
        <v>18682.571000580421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83453.048352242418</v>
      </c>
      <c r="E47" s="354">
        <f t="shared" si="24"/>
        <v>8707.1673684210527</v>
      </c>
      <c r="F47" s="55">
        <f t="shared" si="25"/>
        <v>74745.880983821364</v>
      </c>
      <c r="G47" s="355">
        <f t="shared" si="26"/>
        <v>17693.380241541767</v>
      </c>
      <c r="H47" s="336">
        <f t="shared" si="27"/>
        <v>17693.380241541767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74745.880983821364</v>
      </c>
      <c r="E48" s="354">
        <f t="shared" si="24"/>
        <v>8707.1673684210527</v>
      </c>
      <c r="F48" s="55">
        <f t="shared" si="25"/>
        <v>66038.713615400309</v>
      </c>
      <c r="G48" s="355">
        <f t="shared" si="26"/>
        <v>16704.189482503109</v>
      </c>
      <c r="H48" s="336">
        <f t="shared" si="27"/>
        <v>16704.189482503109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66038.713615400309</v>
      </c>
      <c r="E49" s="354">
        <f t="shared" si="24"/>
        <v>8707.1673684210527</v>
      </c>
      <c r="F49" s="55">
        <f t="shared" si="25"/>
        <v>57331.546246979255</v>
      </c>
      <c r="G49" s="355">
        <f t="shared" si="26"/>
        <v>15714.998723464454</v>
      </c>
      <c r="H49" s="336">
        <f t="shared" si="27"/>
        <v>15714.998723464454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57331.546246979255</v>
      </c>
      <c r="E50" s="354">
        <f t="shared" si="24"/>
        <v>8707.1673684210527</v>
      </c>
      <c r="F50" s="55">
        <f t="shared" si="25"/>
        <v>48624.3788785582</v>
      </c>
      <c r="G50" s="355">
        <f t="shared" si="26"/>
        <v>14725.807964425796</v>
      </c>
      <c r="H50" s="336">
        <f t="shared" si="27"/>
        <v>14725.807964425796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48624.3788785582</v>
      </c>
      <c r="E51" s="354">
        <f t="shared" si="24"/>
        <v>8707.1673684210527</v>
      </c>
      <c r="F51" s="55">
        <f t="shared" si="25"/>
        <v>39917.211510137146</v>
      </c>
      <c r="G51" s="355">
        <f t="shared" si="26"/>
        <v>13736.61720538714</v>
      </c>
      <c r="H51" s="336">
        <f t="shared" si="27"/>
        <v>13736.61720538714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39917.211510137146</v>
      </c>
      <c r="E52" s="354">
        <f t="shared" si="24"/>
        <v>8707.1673684210527</v>
      </c>
      <c r="F52" s="55">
        <f t="shared" si="25"/>
        <v>31210.044141716091</v>
      </c>
      <c r="G52" s="355">
        <f t="shared" si="26"/>
        <v>12747.426446348483</v>
      </c>
      <c r="H52" s="336">
        <f t="shared" si="27"/>
        <v>12747.426446348483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31210.044141716091</v>
      </c>
      <c r="E53" s="354">
        <f t="shared" si="24"/>
        <v>8707.1673684210527</v>
      </c>
      <c r="F53" s="55">
        <f t="shared" si="25"/>
        <v>22502.876773295036</v>
      </c>
      <c r="G53" s="355">
        <f t="shared" si="26"/>
        <v>11758.235687309825</v>
      </c>
      <c r="H53" s="336">
        <f t="shared" si="27"/>
        <v>11758.235687309825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22502.876773295036</v>
      </c>
      <c r="E54" s="354">
        <f t="shared" si="24"/>
        <v>8707.1673684210527</v>
      </c>
      <c r="F54" s="55">
        <f t="shared" si="25"/>
        <v>13795.709404873984</v>
      </c>
      <c r="G54" s="355">
        <f t="shared" si="26"/>
        <v>10769.044928271169</v>
      </c>
      <c r="H54" s="336">
        <f t="shared" si="27"/>
        <v>10769.044928271169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13795.709404873984</v>
      </c>
      <c r="E55" s="354">
        <f t="shared" si="24"/>
        <v>8707.1673684210527</v>
      </c>
      <c r="F55" s="55">
        <f t="shared" si="25"/>
        <v>5088.5420364529309</v>
      </c>
      <c r="G55" s="355">
        <f t="shared" si="26"/>
        <v>9779.8541692325125</v>
      </c>
      <c r="H55" s="336">
        <f t="shared" si="27"/>
        <v>9779.8541692325125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5088.5420364529309</v>
      </c>
      <c r="E56" s="354">
        <f t="shared" si="24"/>
        <v>5088.5420364529309</v>
      </c>
      <c r="F56" s="55">
        <f t="shared" si="25"/>
        <v>0</v>
      </c>
      <c r="G56" s="355">
        <f t="shared" si="26"/>
        <v>5377.5877470989963</v>
      </c>
      <c r="H56" s="336">
        <f t="shared" si="27"/>
        <v>5377.5877470989963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0</v>
      </c>
      <c r="E57" s="354">
        <f t="shared" si="24"/>
        <v>0</v>
      </c>
      <c r="F57" s="55">
        <f t="shared" si="25"/>
        <v>0</v>
      </c>
      <c r="G57" s="355">
        <f t="shared" si="26"/>
        <v>0</v>
      </c>
      <c r="H57" s="336">
        <f t="shared" si="27"/>
        <v>0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0</v>
      </c>
      <c r="E58" s="354">
        <f t="shared" si="24"/>
        <v>0</v>
      </c>
      <c r="F58" s="55">
        <f t="shared" si="25"/>
        <v>0</v>
      </c>
      <c r="G58" s="355">
        <f t="shared" si="26"/>
        <v>0</v>
      </c>
      <c r="H58" s="336">
        <f t="shared" si="27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54">
        <f t="shared" si="24"/>
        <v>0</v>
      </c>
      <c r="F59" s="55">
        <f t="shared" si="25"/>
        <v>0</v>
      </c>
      <c r="G59" s="355">
        <f t="shared" si="26"/>
        <v>0</v>
      </c>
      <c r="H59" s="336">
        <f t="shared" si="27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54">
        <f t="shared" si="24"/>
        <v>0</v>
      </c>
      <c r="F60" s="55">
        <f t="shared" si="25"/>
        <v>0</v>
      </c>
      <c r="G60" s="355">
        <f t="shared" si="26"/>
        <v>0</v>
      </c>
      <c r="H60" s="336">
        <f t="shared" si="27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54">
        <f t="shared" si="24"/>
        <v>0</v>
      </c>
      <c r="F61" s="55">
        <f t="shared" si="25"/>
        <v>0</v>
      </c>
      <c r="G61" s="355">
        <f t="shared" si="26"/>
        <v>0</v>
      </c>
      <c r="H61" s="336">
        <f t="shared" si="27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54">
        <f t="shared" si="24"/>
        <v>0</v>
      </c>
      <c r="F62" s="55">
        <f t="shared" si="25"/>
        <v>0</v>
      </c>
      <c r="G62" s="355">
        <f t="shared" si="26"/>
        <v>0</v>
      </c>
      <c r="H62" s="336">
        <f t="shared" si="27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54">
        <f t="shared" si="24"/>
        <v>0</v>
      </c>
      <c r="F63" s="55">
        <f t="shared" si="25"/>
        <v>0</v>
      </c>
      <c r="G63" s="355">
        <f t="shared" si="26"/>
        <v>0</v>
      </c>
      <c r="H63" s="336">
        <f t="shared" si="27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54">
        <f t="shared" si="24"/>
        <v>0</v>
      </c>
      <c r="F64" s="55">
        <f t="shared" si="25"/>
        <v>0</v>
      </c>
      <c r="G64" s="355">
        <f t="shared" si="26"/>
        <v>0</v>
      </c>
      <c r="H64" s="336">
        <f t="shared" si="27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54">
        <f t="shared" si="24"/>
        <v>0</v>
      </c>
      <c r="F65" s="55">
        <f t="shared" si="25"/>
        <v>0</v>
      </c>
      <c r="G65" s="355">
        <f t="shared" si="26"/>
        <v>0</v>
      </c>
      <c r="H65" s="336">
        <f t="shared" si="27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54">
        <f t="shared" si="24"/>
        <v>0</v>
      </c>
      <c r="F66" s="55">
        <f t="shared" si="25"/>
        <v>0</v>
      </c>
      <c r="G66" s="355">
        <f t="shared" si="26"/>
        <v>0</v>
      </c>
      <c r="H66" s="336">
        <f t="shared" si="27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54">
        <f t="shared" si="24"/>
        <v>0</v>
      </c>
      <c r="F67" s="55">
        <f t="shared" si="25"/>
        <v>0</v>
      </c>
      <c r="G67" s="355">
        <f t="shared" si="26"/>
        <v>0</v>
      </c>
      <c r="H67" s="336">
        <f t="shared" si="27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54">
        <f t="shared" si="24"/>
        <v>0</v>
      </c>
      <c r="F68" s="55">
        <f t="shared" si="25"/>
        <v>0</v>
      </c>
      <c r="G68" s="355">
        <f t="shared" si="26"/>
        <v>0</v>
      </c>
      <c r="H68" s="336">
        <f t="shared" si="27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54">
        <f t="shared" si="24"/>
        <v>0</v>
      </c>
      <c r="F69" s="55">
        <f t="shared" si="25"/>
        <v>0</v>
      </c>
      <c r="G69" s="355">
        <f t="shared" si="26"/>
        <v>0</v>
      </c>
      <c r="H69" s="336">
        <f t="shared" si="27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54">
        <f t="shared" si="24"/>
        <v>0</v>
      </c>
      <c r="F70" s="55">
        <f t="shared" si="25"/>
        <v>0</v>
      </c>
      <c r="G70" s="355">
        <f t="shared" si="26"/>
        <v>0</v>
      </c>
      <c r="H70" s="336">
        <f t="shared" si="27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54">
        <f t="shared" si="24"/>
        <v>0</v>
      </c>
      <c r="F71" s="55">
        <f t="shared" si="25"/>
        <v>0</v>
      </c>
      <c r="G71" s="355">
        <f t="shared" si="26"/>
        <v>0</v>
      </c>
      <c r="H71" s="336">
        <f t="shared" si="27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8">
        <f>IF(D11="","-",+C71+1)</f>
        <v>2072</v>
      </c>
      <c r="D72" s="59">
        <f>IF(F71+SUM(E$17:E71)=D$10,F71,D$10-SUM(E$17:E71))</f>
        <v>0</v>
      </c>
      <c r="E72" s="357">
        <f t="shared" si="24"/>
        <v>0</v>
      </c>
      <c r="F72" s="59">
        <f t="shared" si="25"/>
        <v>0</v>
      </c>
      <c r="G72" s="382">
        <f t="shared" si="26"/>
        <v>0</v>
      </c>
      <c r="H72" s="334">
        <f t="shared" si="27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>
      <c r="C73" s="12" t="s">
        <v>77</v>
      </c>
      <c r="D73" s="266"/>
      <c r="E73" s="266">
        <f>SUM(E17:E72)</f>
        <v>330872.35999999987</v>
      </c>
      <c r="F73" s="266"/>
      <c r="G73" s="266">
        <f>SUM(G17:G72)</f>
        <v>1064073.5642926418</v>
      </c>
      <c r="H73" s="266">
        <f>SUM(H17:H72)</f>
        <v>1064073.5642926418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21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39455.576940392195</v>
      </c>
      <c r="N87" s="364">
        <f>IF(J92&lt;D11,0,VLOOKUP(J92,C17:O72,11))</f>
        <v>39455.576940392195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40658.736846299144</v>
      </c>
      <c r="N88" s="367">
        <f>IF(J92&lt;D11,0,VLOOKUP(J92,C99:P154,7))</f>
        <v>40658.736846299144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Darlington-Roman Nose 138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1203.1599059069486</v>
      </c>
      <c r="N89" s="369">
        <f>+N88-N87</f>
        <v>1203.1599059069486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TP2015027</v>
      </c>
      <c r="E91" s="74" t="str">
        <f>E9</f>
        <v xml:space="preserve">  SPP Project ID = 30619</v>
      </c>
      <c r="F91" s="74"/>
      <c r="G91" s="74"/>
      <c r="H91" s="74"/>
      <c r="I91" s="74"/>
      <c r="J91" s="74"/>
    </row>
    <row r="92" spans="1:16">
      <c r="C92" s="128" t="s">
        <v>226</v>
      </c>
      <c r="D92" s="372">
        <v>330872.36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2017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8942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2017</v>
      </c>
      <c r="D99" s="411">
        <v>0</v>
      </c>
      <c r="E99" s="432">
        <v>3596</v>
      </c>
      <c r="F99" s="411">
        <v>327228</v>
      </c>
      <c r="G99" s="432">
        <v>163614</v>
      </c>
      <c r="H99" s="414">
        <v>24350.848452847567</v>
      </c>
      <c r="I99" s="431">
        <v>24350.848452847567</v>
      </c>
      <c r="J99" s="54">
        <f t="shared" ref="J99:J130" si="28">+I99-H99</f>
        <v>0</v>
      </c>
      <c r="K99" s="54"/>
      <c r="L99" s="53">
        <f>+H99</f>
        <v>24350.848452847567</v>
      </c>
      <c r="M99" s="53">
        <f t="shared" ref="M99:M130" si="29">IF(L99&lt;&gt;0,+H99-L99,0)</f>
        <v>0</v>
      </c>
      <c r="N99" s="53">
        <f>+I99</f>
        <v>24350.848452847567</v>
      </c>
      <c r="O99" s="53">
        <f t="shared" ref="O99:O130" si="30">IF(N99&lt;&gt;0,+I99-N99,0)</f>
        <v>0</v>
      </c>
      <c r="P99" s="53">
        <f t="shared" ref="P99:P130" si="31">+O99-M99</f>
        <v>0</v>
      </c>
    </row>
    <row r="100" spans="1:16">
      <c r="B100" s="7" t="str">
        <f>IF(D100=F99,"","IU")</f>
        <v/>
      </c>
      <c r="C100" s="50">
        <f>IF(D93="","-",+C99+1)</f>
        <v>2018</v>
      </c>
      <c r="D100" s="411">
        <v>327228</v>
      </c>
      <c r="E100" s="412">
        <v>7694</v>
      </c>
      <c r="F100" s="413">
        <v>319534</v>
      </c>
      <c r="G100" s="413">
        <v>323381</v>
      </c>
      <c r="H100" s="430">
        <v>40916.73033605556</v>
      </c>
      <c r="I100" s="431">
        <v>40916.73033605556</v>
      </c>
      <c r="J100" s="54">
        <f t="shared" si="28"/>
        <v>0</v>
      </c>
      <c r="K100" s="54"/>
      <c r="L100" s="350">
        <f t="shared" ref="L100:L105" si="32">H100</f>
        <v>40916.73033605556</v>
      </c>
      <c r="M100" s="63">
        <f t="shared" ref="M100:M105" si="33">IF(L100&lt;&gt;0,+H100-L100,0)</f>
        <v>0</v>
      </c>
      <c r="N100" s="350">
        <f t="shared" ref="N100:N105" si="34">I100</f>
        <v>40916.73033605556</v>
      </c>
      <c r="O100" s="52">
        <f>IF(N100&lt;&gt;0,+I100-N100,0)</f>
        <v>0</v>
      </c>
      <c r="P100" s="54">
        <f>+O100-M100</f>
        <v>0</v>
      </c>
    </row>
    <row r="101" spans="1:16">
      <c r="B101" s="7" t="str">
        <f t="shared" ref="B101:B154" si="35">IF(D101=F100,"","IU")</f>
        <v>IU</v>
      </c>
      <c r="C101" s="50">
        <f>IF(D93="","-",+C100+1)</f>
        <v>2019</v>
      </c>
      <c r="D101" s="411">
        <v>319582</v>
      </c>
      <c r="E101" s="412">
        <v>8070</v>
      </c>
      <c r="F101" s="413">
        <v>311512</v>
      </c>
      <c r="G101" s="413">
        <v>315547</v>
      </c>
      <c r="H101" s="430">
        <v>40607.321587664657</v>
      </c>
      <c r="I101" s="431">
        <v>40607.321587664657</v>
      </c>
      <c r="J101" s="54">
        <f t="shared" si="28"/>
        <v>0</v>
      </c>
      <c r="K101" s="54"/>
      <c r="L101" s="350">
        <f t="shared" si="32"/>
        <v>40607.321587664657</v>
      </c>
      <c r="M101" s="63">
        <f t="shared" si="33"/>
        <v>0</v>
      </c>
      <c r="N101" s="350">
        <f t="shared" si="34"/>
        <v>40607.321587664657</v>
      </c>
      <c r="O101" s="54">
        <f t="shared" si="30"/>
        <v>0</v>
      </c>
      <c r="P101" s="54">
        <f t="shared" si="31"/>
        <v>0</v>
      </c>
    </row>
    <row r="102" spans="1:16">
      <c r="B102" s="7" t="str">
        <f t="shared" si="35"/>
        <v/>
      </c>
      <c r="C102" s="50">
        <f>IF(D93="","-",+C101+1)</f>
        <v>2020</v>
      </c>
      <c r="D102" s="411">
        <v>311512</v>
      </c>
      <c r="E102" s="412">
        <v>7695</v>
      </c>
      <c r="F102" s="413">
        <v>303817</v>
      </c>
      <c r="G102" s="413">
        <v>307664.5</v>
      </c>
      <c r="H102" s="430">
        <v>43167.870996202138</v>
      </c>
      <c r="I102" s="431">
        <v>43167.870996202138</v>
      </c>
      <c r="J102" s="54">
        <f t="shared" si="28"/>
        <v>0</v>
      </c>
      <c r="K102" s="54"/>
      <c r="L102" s="350">
        <f t="shared" si="32"/>
        <v>43167.870996202138</v>
      </c>
      <c r="M102" s="63">
        <f t="shared" si="33"/>
        <v>0</v>
      </c>
      <c r="N102" s="350">
        <f t="shared" si="34"/>
        <v>43167.870996202138</v>
      </c>
      <c r="O102" s="54">
        <f t="shared" si="30"/>
        <v>0</v>
      </c>
      <c r="P102" s="54">
        <f t="shared" si="31"/>
        <v>0</v>
      </c>
    </row>
    <row r="103" spans="1:16">
      <c r="B103" s="7" t="str">
        <f t="shared" si="35"/>
        <v/>
      </c>
      <c r="C103" s="50">
        <f>IF(D93="","-",+C102+1)</f>
        <v>2021</v>
      </c>
      <c r="D103" s="411">
        <v>303817</v>
      </c>
      <c r="E103" s="412">
        <v>8070</v>
      </c>
      <c r="F103" s="413">
        <v>295747</v>
      </c>
      <c r="G103" s="413">
        <v>299782</v>
      </c>
      <c r="H103" s="430">
        <v>42183.031080558285</v>
      </c>
      <c r="I103" s="431">
        <v>42183.031080558285</v>
      </c>
      <c r="J103" s="54">
        <f t="shared" si="28"/>
        <v>0</v>
      </c>
      <c r="K103" s="54"/>
      <c r="L103" s="350">
        <f t="shared" si="32"/>
        <v>42183.031080558285</v>
      </c>
      <c r="M103" s="63">
        <f t="shared" si="33"/>
        <v>0</v>
      </c>
      <c r="N103" s="350">
        <f t="shared" si="34"/>
        <v>42183.031080558285</v>
      </c>
      <c r="O103" s="54">
        <f t="shared" si="30"/>
        <v>0</v>
      </c>
      <c r="P103" s="54">
        <f t="shared" si="31"/>
        <v>0</v>
      </c>
    </row>
    <row r="104" spans="1:16">
      <c r="B104" s="7" t="str">
        <f t="shared" si="35"/>
        <v/>
      </c>
      <c r="C104" s="50">
        <f>IF(D93="","-",+C103+1)</f>
        <v>2022</v>
      </c>
      <c r="D104" s="411">
        <v>295747</v>
      </c>
      <c r="E104" s="412">
        <v>8484</v>
      </c>
      <c r="F104" s="413">
        <v>287263</v>
      </c>
      <c r="G104" s="413">
        <v>291505</v>
      </c>
      <c r="H104" s="430">
        <v>40602.794226516286</v>
      </c>
      <c r="I104" s="431">
        <v>40602.794226516286</v>
      </c>
      <c r="J104" s="54">
        <f t="shared" si="28"/>
        <v>0</v>
      </c>
      <c r="K104" s="54"/>
      <c r="L104" s="350">
        <f t="shared" si="32"/>
        <v>40602.794226516286</v>
      </c>
      <c r="M104" s="63">
        <f t="shared" si="33"/>
        <v>0</v>
      </c>
      <c r="N104" s="350">
        <f t="shared" si="34"/>
        <v>40602.794226516286</v>
      </c>
      <c r="O104" s="54">
        <f t="shared" ref="O104" si="36">IF(N104&lt;&gt;0,+I104-N104,0)</f>
        <v>0</v>
      </c>
      <c r="P104" s="54">
        <f t="shared" ref="P104" si="37">+O104-M104</f>
        <v>0</v>
      </c>
    </row>
    <row r="105" spans="1:16">
      <c r="B105" s="7" t="str">
        <f t="shared" si="35"/>
        <v>IU</v>
      </c>
      <c r="C105" s="50">
        <f>IF(D93="","-",+C104+1)</f>
        <v>2023</v>
      </c>
      <c r="D105" s="411">
        <v>287263.35999999999</v>
      </c>
      <c r="E105" s="412">
        <v>8707</v>
      </c>
      <c r="F105" s="413">
        <v>278556.36</v>
      </c>
      <c r="G105" s="413">
        <v>282909.86</v>
      </c>
      <c r="H105" s="430">
        <v>41022.9595881321</v>
      </c>
      <c r="I105" s="431">
        <v>41022.9595881321</v>
      </c>
      <c r="J105" s="54">
        <f t="shared" si="28"/>
        <v>0</v>
      </c>
      <c r="K105" s="54"/>
      <c r="L105" s="350">
        <f t="shared" si="32"/>
        <v>41022.9595881321</v>
      </c>
      <c r="M105" s="63">
        <f t="shared" si="33"/>
        <v>0</v>
      </c>
      <c r="N105" s="350">
        <f t="shared" si="34"/>
        <v>41022.9595881321</v>
      </c>
      <c r="O105" s="54">
        <f t="shared" ref="O105" si="38">IF(N105&lt;&gt;0,+I105-N105,0)</f>
        <v>0</v>
      </c>
      <c r="P105" s="54">
        <f t="shared" ref="P105" si="39">+O105-M105</f>
        <v>0</v>
      </c>
    </row>
    <row r="106" spans="1:16">
      <c r="B106" s="7" t="str">
        <f t="shared" si="35"/>
        <v/>
      </c>
      <c r="C106" s="50">
        <f>IF(D93="","-",+C105+1)</f>
        <v>2024</v>
      </c>
      <c r="D106" s="411">
        <v>278556.36</v>
      </c>
      <c r="E106" s="412">
        <v>8942</v>
      </c>
      <c r="F106" s="413">
        <v>269614.36</v>
      </c>
      <c r="G106" s="413">
        <v>274085.36</v>
      </c>
      <c r="H106" s="430">
        <v>45756.791918583949</v>
      </c>
      <c r="I106" s="431">
        <v>45756.791918583949</v>
      </c>
      <c r="J106" s="54">
        <f t="shared" si="28"/>
        <v>0</v>
      </c>
      <c r="K106" s="54"/>
      <c r="L106" s="350">
        <f t="shared" ref="L106" si="40">H106</f>
        <v>45756.791918583949</v>
      </c>
      <c r="M106" s="63">
        <f t="shared" ref="M106" si="41">IF(L106&lt;&gt;0,+H106-L106,0)</f>
        <v>0</v>
      </c>
      <c r="N106" s="350">
        <f t="shared" ref="N106" si="42">I106</f>
        <v>45756.791918583949</v>
      </c>
      <c r="O106" s="54">
        <f t="shared" ref="O106" si="43">IF(N106&lt;&gt;0,+I106-N106,0)</f>
        <v>0</v>
      </c>
      <c r="P106" s="54">
        <f t="shared" ref="P106" si="44">+O106-M106</f>
        <v>0</v>
      </c>
    </row>
    <row r="107" spans="1:16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269614.36</v>
      </c>
      <c r="E107" s="354">
        <f t="shared" ref="E107:E154" si="45">IF(+J$96&lt;F106,J$96,D107)</f>
        <v>8942</v>
      </c>
      <c r="F107" s="55">
        <f t="shared" ref="F107:F154" si="46">+D107-E107</f>
        <v>260672.36</v>
      </c>
      <c r="G107" s="55">
        <f t="shared" ref="G107:G154" si="47">+(F107+D107)/2</f>
        <v>265143.36</v>
      </c>
      <c r="H107" s="355">
        <f t="shared" ref="H107:H153" si="48">(D107+F107)/2*J$94+E107</f>
        <v>40658.736846299144</v>
      </c>
      <c r="I107" s="381">
        <f t="shared" ref="I107:I153" si="49">+J$95*G107+E107</f>
        <v>40658.736846299144</v>
      </c>
      <c r="J107" s="54">
        <f t="shared" si="28"/>
        <v>0</v>
      </c>
      <c r="K107" s="54"/>
      <c r="L107" s="115"/>
      <c r="M107" s="54">
        <f t="shared" si="29"/>
        <v>0</v>
      </c>
      <c r="N107" s="115"/>
      <c r="O107" s="54">
        <f t="shared" si="30"/>
        <v>0</v>
      </c>
      <c r="P107" s="54">
        <f t="shared" si="31"/>
        <v>0</v>
      </c>
    </row>
    <row r="108" spans="1:16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260672.36</v>
      </c>
      <c r="E108" s="354">
        <f t="shared" si="45"/>
        <v>8942</v>
      </c>
      <c r="F108" s="55">
        <f t="shared" si="46"/>
        <v>251730.36</v>
      </c>
      <c r="G108" s="55">
        <f t="shared" si="47"/>
        <v>256201.36</v>
      </c>
      <c r="H108" s="355">
        <f t="shared" si="48"/>
        <v>39589.085089303961</v>
      </c>
      <c r="I108" s="381">
        <f t="shared" si="49"/>
        <v>39589.085089303961</v>
      </c>
      <c r="J108" s="54">
        <f t="shared" si="28"/>
        <v>0</v>
      </c>
      <c r="K108" s="54"/>
      <c r="L108" s="115"/>
      <c r="M108" s="54">
        <f t="shared" si="29"/>
        <v>0</v>
      </c>
      <c r="N108" s="115"/>
      <c r="O108" s="54">
        <f t="shared" si="30"/>
        <v>0</v>
      </c>
      <c r="P108" s="54">
        <f t="shared" si="31"/>
        <v>0</v>
      </c>
    </row>
    <row r="109" spans="1:16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251730.36</v>
      </c>
      <c r="E109" s="354">
        <f t="shared" si="45"/>
        <v>8942</v>
      </c>
      <c r="F109" s="55">
        <f t="shared" si="46"/>
        <v>242788.36</v>
      </c>
      <c r="G109" s="55">
        <f t="shared" si="47"/>
        <v>247259.36</v>
      </c>
      <c r="H109" s="355">
        <f t="shared" si="48"/>
        <v>38519.433332308778</v>
      </c>
      <c r="I109" s="381">
        <f t="shared" si="49"/>
        <v>38519.433332308778</v>
      </c>
      <c r="J109" s="54">
        <f t="shared" si="28"/>
        <v>0</v>
      </c>
      <c r="K109" s="54"/>
      <c r="L109" s="115"/>
      <c r="M109" s="54">
        <f t="shared" si="29"/>
        <v>0</v>
      </c>
      <c r="N109" s="115"/>
      <c r="O109" s="54">
        <f t="shared" si="30"/>
        <v>0</v>
      </c>
      <c r="P109" s="54">
        <f t="shared" si="31"/>
        <v>0</v>
      </c>
    </row>
    <row r="110" spans="1:16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242788.36</v>
      </c>
      <c r="E110" s="354">
        <f t="shared" si="45"/>
        <v>8942</v>
      </c>
      <c r="F110" s="55">
        <f t="shared" si="46"/>
        <v>233846.36</v>
      </c>
      <c r="G110" s="55">
        <f t="shared" si="47"/>
        <v>238317.36</v>
      </c>
      <c r="H110" s="355">
        <f t="shared" si="48"/>
        <v>37449.781575313595</v>
      </c>
      <c r="I110" s="381">
        <f t="shared" si="49"/>
        <v>37449.781575313595</v>
      </c>
      <c r="J110" s="54">
        <f t="shared" si="28"/>
        <v>0</v>
      </c>
      <c r="K110" s="54"/>
      <c r="L110" s="115"/>
      <c r="M110" s="54">
        <f t="shared" si="29"/>
        <v>0</v>
      </c>
      <c r="N110" s="115"/>
      <c r="O110" s="54">
        <f t="shared" si="30"/>
        <v>0</v>
      </c>
      <c r="P110" s="54">
        <f t="shared" si="31"/>
        <v>0</v>
      </c>
    </row>
    <row r="111" spans="1:16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233846.36</v>
      </c>
      <c r="E111" s="354">
        <f t="shared" si="45"/>
        <v>8942</v>
      </c>
      <c r="F111" s="55">
        <f t="shared" si="46"/>
        <v>224904.36</v>
      </c>
      <c r="G111" s="55">
        <f t="shared" si="47"/>
        <v>229375.35999999999</v>
      </c>
      <c r="H111" s="355">
        <f t="shared" si="48"/>
        <v>36380.129818318404</v>
      </c>
      <c r="I111" s="381">
        <f t="shared" si="49"/>
        <v>36380.129818318404</v>
      </c>
      <c r="J111" s="54">
        <f t="shared" si="28"/>
        <v>0</v>
      </c>
      <c r="K111" s="54"/>
      <c r="L111" s="115"/>
      <c r="M111" s="54">
        <f t="shared" si="29"/>
        <v>0</v>
      </c>
      <c r="N111" s="115"/>
      <c r="O111" s="54">
        <f t="shared" si="30"/>
        <v>0</v>
      </c>
      <c r="P111" s="54">
        <f t="shared" si="31"/>
        <v>0</v>
      </c>
    </row>
    <row r="112" spans="1:16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224904.36</v>
      </c>
      <c r="E112" s="354">
        <f t="shared" si="45"/>
        <v>8942</v>
      </c>
      <c r="F112" s="55">
        <f t="shared" si="46"/>
        <v>215962.36</v>
      </c>
      <c r="G112" s="55">
        <f t="shared" si="47"/>
        <v>220433.36</v>
      </c>
      <c r="H112" s="355">
        <f t="shared" si="48"/>
        <v>35310.478061323221</v>
      </c>
      <c r="I112" s="381">
        <f t="shared" si="49"/>
        <v>35310.478061323221</v>
      </c>
      <c r="J112" s="54">
        <f t="shared" si="28"/>
        <v>0</v>
      </c>
      <c r="K112" s="54"/>
      <c r="L112" s="115"/>
      <c r="M112" s="54">
        <f t="shared" si="29"/>
        <v>0</v>
      </c>
      <c r="N112" s="115"/>
      <c r="O112" s="54">
        <f t="shared" si="30"/>
        <v>0</v>
      </c>
      <c r="P112" s="54">
        <f t="shared" si="31"/>
        <v>0</v>
      </c>
    </row>
    <row r="113" spans="2:16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215962.36</v>
      </c>
      <c r="E113" s="354">
        <f t="shared" si="45"/>
        <v>8942</v>
      </c>
      <c r="F113" s="55">
        <f t="shared" si="46"/>
        <v>207020.36</v>
      </c>
      <c r="G113" s="55">
        <f t="shared" si="47"/>
        <v>211491.36</v>
      </c>
      <c r="H113" s="355">
        <f t="shared" si="48"/>
        <v>34240.826304328031</v>
      </c>
      <c r="I113" s="381">
        <f t="shared" si="49"/>
        <v>34240.826304328031</v>
      </c>
      <c r="J113" s="54">
        <f t="shared" si="28"/>
        <v>0</v>
      </c>
      <c r="K113" s="54"/>
      <c r="L113" s="115"/>
      <c r="M113" s="54">
        <f t="shared" si="29"/>
        <v>0</v>
      </c>
      <c r="N113" s="115"/>
      <c r="O113" s="54">
        <f t="shared" si="30"/>
        <v>0</v>
      </c>
      <c r="P113" s="54">
        <f t="shared" si="31"/>
        <v>0</v>
      </c>
    </row>
    <row r="114" spans="2:16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207020.36</v>
      </c>
      <c r="E114" s="354">
        <f t="shared" si="45"/>
        <v>8942</v>
      </c>
      <c r="F114" s="55">
        <f t="shared" si="46"/>
        <v>198078.36</v>
      </c>
      <c r="G114" s="55">
        <f t="shared" si="47"/>
        <v>202549.36</v>
      </c>
      <c r="H114" s="355">
        <f t="shared" si="48"/>
        <v>33171.174547332848</v>
      </c>
      <c r="I114" s="381">
        <f t="shared" si="49"/>
        <v>33171.174547332848</v>
      </c>
      <c r="J114" s="54">
        <f t="shared" si="28"/>
        <v>0</v>
      </c>
      <c r="K114" s="54"/>
      <c r="L114" s="115"/>
      <c r="M114" s="54">
        <f t="shared" si="29"/>
        <v>0</v>
      </c>
      <c r="N114" s="115"/>
      <c r="O114" s="54">
        <f t="shared" si="30"/>
        <v>0</v>
      </c>
      <c r="P114" s="54">
        <f t="shared" si="31"/>
        <v>0</v>
      </c>
    </row>
    <row r="115" spans="2:16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198078.36</v>
      </c>
      <c r="E115" s="354">
        <f t="shared" si="45"/>
        <v>8942</v>
      </c>
      <c r="F115" s="55">
        <f t="shared" si="46"/>
        <v>189136.36</v>
      </c>
      <c r="G115" s="55">
        <f t="shared" si="47"/>
        <v>193607.36</v>
      </c>
      <c r="H115" s="355">
        <f t="shared" si="48"/>
        <v>32101.522790337662</v>
      </c>
      <c r="I115" s="381">
        <f t="shared" si="49"/>
        <v>32101.522790337662</v>
      </c>
      <c r="J115" s="54">
        <f t="shared" si="28"/>
        <v>0</v>
      </c>
      <c r="K115" s="54"/>
      <c r="L115" s="115"/>
      <c r="M115" s="54">
        <f t="shared" si="29"/>
        <v>0</v>
      </c>
      <c r="N115" s="115"/>
      <c r="O115" s="54">
        <f t="shared" si="30"/>
        <v>0</v>
      </c>
      <c r="P115" s="54">
        <f t="shared" si="31"/>
        <v>0</v>
      </c>
    </row>
    <row r="116" spans="2:16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189136.36</v>
      </c>
      <c r="E116" s="354">
        <f t="shared" si="45"/>
        <v>8942</v>
      </c>
      <c r="F116" s="55">
        <f t="shared" si="46"/>
        <v>180194.36</v>
      </c>
      <c r="G116" s="55">
        <f t="shared" si="47"/>
        <v>184665.36</v>
      </c>
      <c r="H116" s="355">
        <f t="shared" si="48"/>
        <v>31031.871033342479</v>
      </c>
      <c r="I116" s="381">
        <f t="shared" si="49"/>
        <v>31031.871033342479</v>
      </c>
      <c r="J116" s="54">
        <f t="shared" si="28"/>
        <v>0</v>
      </c>
      <c r="K116" s="54"/>
      <c r="L116" s="115"/>
      <c r="M116" s="54">
        <f t="shared" si="29"/>
        <v>0</v>
      </c>
      <c r="N116" s="115"/>
      <c r="O116" s="54">
        <f t="shared" si="30"/>
        <v>0</v>
      </c>
      <c r="P116" s="54">
        <f t="shared" si="31"/>
        <v>0</v>
      </c>
    </row>
    <row r="117" spans="2:16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180194.36</v>
      </c>
      <c r="E117" s="354">
        <f t="shared" si="45"/>
        <v>8942</v>
      </c>
      <c r="F117" s="55">
        <f t="shared" si="46"/>
        <v>171252.36</v>
      </c>
      <c r="G117" s="55">
        <f t="shared" si="47"/>
        <v>175723.36</v>
      </c>
      <c r="H117" s="355">
        <f t="shared" si="48"/>
        <v>29962.219276347292</v>
      </c>
      <c r="I117" s="381">
        <f t="shared" si="49"/>
        <v>29962.219276347292</v>
      </c>
      <c r="J117" s="54">
        <f t="shared" si="28"/>
        <v>0</v>
      </c>
      <c r="K117" s="54"/>
      <c r="L117" s="115"/>
      <c r="M117" s="54">
        <f t="shared" si="29"/>
        <v>0</v>
      </c>
      <c r="N117" s="115"/>
      <c r="O117" s="54">
        <f t="shared" si="30"/>
        <v>0</v>
      </c>
      <c r="P117" s="54">
        <f t="shared" si="31"/>
        <v>0</v>
      </c>
    </row>
    <row r="118" spans="2:16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171252.36</v>
      </c>
      <c r="E118" s="354">
        <f t="shared" si="45"/>
        <v>8942</v>
      </c>
      <c r="F118" s="55">
        <f t="shared" si="46"/>
        <v>162310.35999999999</v>
      </c>
      <c r="G118" s="55">
        <f t="shared" si="47"/>
        <v>166781.35999999999</v>
      </c>
      <c r="H118" s="355">
        <f t="shared" si="48"/>
        <v>28892.567519352106</v>
      </c>
      <c r="I118" s="381">
        <f t="shared" si="49"/>
        <v>28892.567519352106</v>
      </c>
      <c r="J118" s="54">
        <f t="shared" si="28"/>
        <v>0</v>
      </c>
      <c r="K118" s="54"/>
      <c r="L118" s="115"/>
      <c r="M118" s="54">
        <f t="shared" si="29"/>
        <v>0</v>
      </c>
      <c r="N118" s="115"/>
      <c r="O118" s="54">
        <f t="shared" si="30"/>
        <v>0</v>
      </c>
      <c r="P118" s="54">
        <f t="shared" si="31"/>
        <v>0</v>
      </c>
    </row>
    <row r="119" spans="2:16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162310.35999999999</v>
      </c>
      <c r="E119" s="354">
        <f t="shared" si="45"/>
        <v>8942</v>
      </c>
      <c r="F119" s="55">
        <f t="shared" si="46"/>
        <v>153368.35999999999</v>
      </c>
      <c r="G119" s="55">
        <f t="shared" si="47"/>
        <v>157839.35999999999</v>
      </c>
      <c r="H119" s="355">
        <f t="shared" si="48"/>
        <v>27822.915762356923</v>
      </c>
      <c r="I119" s="381">
        <f t="shared" si="49"/>
        <v>27822.915762356923</v>
      </c>
      <c r="J119" s="54">
        <f t="shared" si="28"/>
        <v>0</v>
      </c>
      <c r="K119" s="54"/>
      <c r="L119" s="115"/>
      <c r="M119" s="54">
        <f t="shared" si="29"/>
        <v>0</v>
      </c>
      <c r="N119" s="115"/>
      <c r="O119" s="54">
        <f t="shared" si="30"/>
        <v>0</v>
      </c>
      <c r="P119" s="54">
        <f t="shared" si="31"/>
        <v>0</v>
      </c>
    </row>
    <row r="120" spans="2:16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153368.35999999999</v>
      </c>
      <c r="E120" s="354">
        <f t="shared" si="45"/>
        <v>8942</v>
      </c>
      <c r="F120" s="55">
        <f t="shared" si="46"/>
        <v>144426.35999999999</v>
      </c>
      <c r="G120" s="55">
        <f t="shared" si="47"/>
        <v>148897.35999999999</v>
      </c>
      <c r="H120" s="355">
        <f t="shared" si="48"/>
        <v>26753.264005361736</v>
      </c>
      <c r="I120" s="381">
        <f t="shared" si="49"/>
        <v>26753.264005361736</v>
      </c>
      <c r="J120" s="54">
        <f t="shared" si="28"/>
        <v>0</v>
      </c>
      <c r="K120" s="54"/>
      <c r="L120" s="115"/>
      <c r="M120" s="54">
        <f t="shared" si="29"/>
        <v>0</v>
      </c>
      <c r="N120" s="115"/>
      <c r="O120" s="54">
        <f t="shared" si="30"/>
        <v>0</v>
      </c>
      <c r="P120" s="54">
        <f t="shared" si="31"/>
        <v>0</v>
      </c>
    </row>
    <row r="121" spans="2:16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144426.35999999999</v>
      </c>
      <c r="E121" s="354">
        <f t="shared" si="45"/>
        <v>8942</v>
      </c>
      <c r="F121" s="55">
        <f t="shared" si="46"/>
        <v>135484.35999999999</v>
      </c>
      <c r="G121" s="55">
        <f t="shared" si="47"/>
        <v>139955.35999999999</v>
      </c>
      <c r="H121" s="355">
        <f t="shared" si="48"/>
        <v>25683.612248366549</v>
      </c>
      <c r="I121" s="381">
        <f t="shared" si="49"/>
        <v>25683.612248366549</v>
      </c>
      <c r="J121" s="54">
        <f t="shared" si="28"/>
        <v>0</v>
      </c>
      <c r="K121" s="54"/>
      <c r="L121" s="115"/>
      <c r="M121" s="54">
        <f t="shared" si="29"/>
        <v>0</v>
      </c>
      <c r="N121" s="115"/>
      <c r="O121" s="54">
        <f t="shared" si="30"/>
        <v>0</v>
      </c>
      <c r="P121" s="54">
        <f t="shared" si="31"/>
        <v>0</v>
      </c>
    </row>
    <row r="122" spans="2:16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135484.35999999999</v>
      </c>
      <c r="E122" s="354">
        <f t="shared" si="45"/>
        <v>8942</v>
      </c>
      <c r="F122" s="55">
        <f t="shared" si="46"/>
        <v>126542.35999999999</v>
      </c>
      <c r="G122" s="55">
        <f t="shared" si="47"/>
        <v>131013.35999999999</v>
      </c>
      <c r="H122" s="355">
        <f t="shared" si="48"/>
        <v>24613.960491371363</v>
      </c>
      <c r="I122" s="381">
        <f t="shared" si="49"/>
        <v>24613.960491371363</v>
      </c>
      <c r="J122" s="54">
        <f t="shared" si="28"/>
        <v>0</v>
      </c>
      <c r="K122" s="54"/>
      <c r="L122" s="115"/>
      <c r="M122" s="54">
        <f t="shared" si="29"/>
        <v>0</v>
      </c>
      <c r="N122" s="115"/>
      <c r="O122" s="54">
        <f t="shared" si="30"/>
        <v>0</v>
      </c>
      <c r="P122" s="54">
        <f t="shared" si="31"/>
        <v>0</v>
      </c>
    </row>
    <row r="123" spans="2:16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126542.35999999999</v>
      </c>
      <c r="E123" s="354">
        <f t="shared" si="45"/>
        <v>8942</v>
      </c>
      <c r="F123" s="55">
        <f t="shared" si="46"/>
        <v>117600.35999999999</v>
      </c>
      <c r="G123" s="55">
        <f t="shared" si="47"/>
        <v>122071.35999999999</v>
      </c>
      <c r="H123" s="355">
        <f t="shared" si="48"/>
        <v>23544.30873437618</v>
      </c>
      <c r="I123" s="381">
        <f t="shared" si="49"/>
        <v>23544.30873437618</v>
      </c>
      <c r="J123" s="54">
        <f t="shared" si="28"/>
        <v>0</v>
      </c>
      <c r="K123" s="54"/>
      <c r="L123" s="115"/>
      <c r="M123" s="54">
        <f t="shared" si="29"/>
        <v>0</v>
      </c>
      <c r="N123" s="115"/>
      <c r="O123" s="54">
        <f t="shared" si="30"/>
        <v>0</v>
      </c>
      <c r="P123" s="54">
        <f t="shared" si="31"/>
        <v>0</v>
      </c>
    </row>
    <row r="124" spans="2:16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117600.35999999999</v>
      </c>
      <c r="E124" s="354">
        <f t="shared" si="45"/>
        <v>8942</v>
      </c>
      <c r="F124" s="55">
        <f t="shared" si="46"/>
        <v>108658.35999999999</v>
      </c>
      <c r="G124" s="55">
        <f t="shared" si="47"/>
        <v>113129.35999999999</v>
      </c>
      <c r="H124" s="355">
        <f t="shared" si="48"/>
        <v>22474.656977380993</v>
      </c>
      <c r="I124" s="381">
        <f t="shared" si="49"/>
        <v>22474.656977380993</v>
      </c>
      <c r="J124" s="54">
        <f t="shared" si="28"/>
        <v>0</v>
      </c>
      <c r="K124" s="54"/>
      <c r="L124" s="115"/>
      <c r="M124" s="54">
        <f t="shared" si="29"/>
        <v>0</v>
      </c>
      <c r="N124" s="115"/>
      <c r="O124" s="54">
        <f t="shared" si="30"/>
        <v>0</v>
      </c>
      <c r="P124" s="54">
        <f t="shared" si="31"/>
        <v>0</v>
      </c>
    </row>
    <row r="125" spans="2:16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108658.35999999999</v>
      </c>
      <c r="E125" s="354">
        <f t="shared" si="45"/>
        <v>8942</v>
      </c>
      <c r="F125" s="55">
        <f t="shared" si="46"/>
        <v>99716.359999999986</v>
      </c>
      <c r="G125" s="55">
        <f t="shared" si="47"/>
        <v>104187.35999999999</v>
      </c>
      <c r="H125" s="355">
        <f t="shared" si="48"/>
        <v>21405.005220385807</v>
      </c>
      <c r="I125" s="381">
        <f t="shared" si="49"/>
        <v>21405.005220385807</v>
      </c>
      <c r="J125" s="54">
        <f t="shared" si="28"/>
        <v>0</v>
      </c>
      <c r="K125" s="54"/>
      <c r="L125" s="115"/>
      <c r="M125" s="54">
        <f t="shared" si="29"/>
        <v>0</v>
      </c>
      <c r="N125" s="115"/>
      <c r="O125" s="54">
        <f t="shared" si="30"/>
        <v>0</v>
      </c>
      <c r="P125" s="54">
        <f t="shared" si="31"/>
        <v>0</v>
      </c>
    </row>
    <row r="126" spans="2:16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99716.359999999986</v>
      </c>
      <c r="E126" s="354">
        <f t="shared" si="45"/>
        <v>8942</v>
      </c>
      <c r="F126" s="55">
        <f t="shared" si="46"/>
        <v>90774.359999999986</v>
      </c>
      <c r="G126" s="55">
        <f t="shared" si="47"/>
        <v>95245.359999999986</v>
      </c>
      <c r="H126" s="355">
        <f t="shared" si="48"/>
        <v>20335.353463390624</v>
      </c>
      <c r="I126" s="381">
        <f t="shared" si="49"/>
        <v>20335.353463390624</v>
      </c>
      <c r="J126" s="54">
        <f t="shared" si="28"/>
        <v>0</v>
      </c>
      <c r="K126" s="54"/>
      <c r="L126" s="115"/>
      <c r="M126" s="54">
        <f t="shared" si="29"/>
        <v>0</v>
      </c>
      <c r="N126" s="115"/>
      <c r="O126" s="54">
        <f t="shared" si="30"/>
        <v>0</v>
      </c>
      <c r="P126" s="54">
        <f t="shared" si="31"/>
        <v>0</v>
      </c>
    </row>
    <row r="127" spans="2:16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90774.359999999986</v>
      </c>
      <c r="E127" s="354">
        <f t="shared" si="45"/>
        <v>8942</v>
      </c>
      <c r="F127" s="55">
        <f t="shared" si="46"/>
        <v>81832.359999999986</v>
      </c>
      <c r="G127" s="55">
        <f t="shared" si="47"/>
        <v>86303.359999999986</v>
      </c>
      <c r="H127" s="355">
        <f t="shared" si="48"/>
        <v>19265.701706395437</v>
      </c>
      <c r="I127" s="381">
        <f t="shared" si="49"/>
        <v>19265.701706395437</v>
      </c>
      <c r="J127" s="54">
        <f t="shared" si="28"/>
        <v>0</v>
      </c>
      <c r="K127" s="54"/>
      <c r="L127" s="115"/>
      <c r="M127" s="54">
        <f t="shared" si="29"/>
        <v>0</v>
      </c>
      <c r="N127" s="115"/>
      <c r="O127" s="54">
        <f t="shared" si="30"/>
        <v>0</v>
      </c>
      <c r="P127" s="54">
        <f t="shared" si="31"/>
        <v>0</v>
      </c>
    </row>
    <row r="128" spans="2:16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81832.359999999986</v>
      </c>
      <c r="E128" s="354">
        <f t="shared" si="45"/>
        <v>8942</v>
      </c>
      <c r="F128" s="55">
        <f t="shared" si="46"/>
        <v>72890.359999999986</v>
      </c>
      <c r="G128" s="55">
        <f t="shared" si="47"/>
        <v>77361.359999999986</v>
      </c>
      <c r="H128" s="355">
        <f t="shared" si="48"/>
        <v>18196.049949400251</v>
      </c>
      <c r="I128" s="381">
        <f t="shared" si="49"/>
        <v>18196.049949400251</v>
      </c>
      <c r="J128" s="54">
        <f t="shared" si="28"/>
        <v>0</v>
      </c>
      <c r="K128" s="54"/>
      <c r="L128" s="115"/>
      <c r="M128" s="54">
        <f t="shared" si="29"/>
        <v>0</v>
      </c>
      <c r="N128" s="115"/>
      <c r="O128" s="54">
        <f t="shared" si="30"/>
        <v>0</v>
      </c>
      <c r="P128" s="54">
        <f t="shared" si="31"/>
        <v>0</v>
      </c>
    </row>
    <row r="129" spans="2:16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72890.359999999986</v>
      </c>
      <c r="E129" s="354">
        <f t="shared" si="45"/>
        <v>8942</v>
      </c>
      <c r="F129" s="55">
        <f t="shared" si="46"/>
        <v>63948.359999999986</v>
      </c>
      <c r="G129" s="55">
        <f t="shared" si="47"/>
        <v>68419.359999999986</v>
      </c>
      <c r="H129" s="355">
        <f t="shared" si="48"/>
        <v>17126.398192405068</v>
      </c>
      <c r="I129" s="381">
        <f t="shared" si="49"/>
        <v>17126.398192405068</v>
      </c>
      <c r="J129" s="54">
        <f t="shared" si="28"/>
        <v>0</v>
      </c>
      <c r="K129" s="54"/>
      <c r="L129" s="115"/>
      <c r="M129" s="54">
        <f t="shared" si="29"/>
        <v>0</v>
      </c>
      <c r="N129" s="115"/>
      <c r="O129" s="54">
        <f t="shared" si="30"/>
        <v>0</v>
      </c>
      <c r="P129" s="54">
        <f t="shared" si="31"/>
        <v>0</v>
      </c>
    </row>
    <row r="130" spans="2:16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63948.359999999986</v>
      </c>
      <c r="E130" s="354">
        <f t="shared" si="45"/>
        <v>8942</v>
      </c>
      <c r="F130" s="55">
        <f t="shared" si="46"/>
        <v>55006.359999999986</v>
      </c>
      <c r="G130" s="55">
        <f t="shared" si="47"/>
        <v>59477.359999999986</v>
      </c>
      <c r="H130" s="355">
        <f t="shared" si="48"/>
        <v>16056.746435409881</v>
      </c>
      <c r="I130" s="381">
        <f t="shared" si="49"/>
        <v>16056.746435409881</v>
      </c>
      <c r="J130" s="54">
        <f t="shared" si="28"/>
        <v>0</v>
      </c>
      <c r="K130" s="54"/>
      <c r="L130" s="115"/>
      <c r="M130" s="54">
        <f t="shared" si="29"/>
        <v>0</v>
      </c>
      <c r="N130" s="115"/>
      <c r="O130" s="54">
        <f t="shared" si="30"/>
        <v>0</v>
      </c>
      <c r="P130" s="54">
        <f t="shared" si="31"/>
        <v>0</v>
      </c>
    </row>
    <row r="131" spans="2:16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55006.359999999986</v>
      </c>
      <c r="E131" s="354">
        <f t="shared" si="45"/>
        <v>8942</v>
      </c>
      <c r="F131" s="55">
        <f t="shared" si="46"/>
        <v>46064.359999999986</v>
      </c>
      <c r="G131" s="55">
        <f t="shared" si="47"/>
        <v>50535.359999999986</v>
      </c>
      <c r="H131" s="355">
        <f t="shared" si="48"/>
        <v>14987.094678414694</v>
      </c>
      <c r="I131" s="381">
        <f t="shared" si="49"/>
        <v>14987.094678414694</v>
      </c>
      <c r="J131" s="54">
        <f t="shared" ref="J131:J154" si="50">+I541-H541</f>
        <v>0</v>
      </c>
      <c r="K131" s="54"/>
      <c r="L131" s="115"/>
      <c r="M131" s="54">
        <f t="shared" ref="M131:M154" si="51">IF(L541&lt;&gt;0,+H541-L541,0)</f>
        <v>0</v>
      </c>
      <c r="N131" s="115"/>
      <c r="O131" s="54">
        <f t="shared" ref="O131:O154" si="52">IF(N541&lt;&gt;0,+I541-N541,0)</f>
        <v>0</v>
      </c>
      <c r="P131" s="54">
        <f t="shared" ref="P131:P154" si="53">+O541-M541</f>
        <v>0</v>
      </c>
    </row>
    <row r="132" spans="2:16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46064.359999999986</v>
      </c>
      <c r="E132" s="354">
        <f t="shared" si="45"/>
        <v>8942</v>
      </c>
      <c r="F132" s="55">
        <f t="shared" si="46"/>
        <v>37122.359999999986</v>
      </c>
      <c r="G132" s="55">
        <f t="shared" si="47"/>
        <v>41593.359999999986</v>
      </c>
      <c r="H132" s="355">
        <f t="shared" si="48"/>
        <v>13917.44292141951</v>
      </c>
      <c r="I132" s="381">
        <f t="shared" si="49"/>
        <v>13917.44292141951</v>
      </c>
      <c r="J132" s="54">
        <f t="shared" si="50"/>
        <v>0</v>
      </c>
      <c r="K132" s="54"/>
      <c r="L132" s="115"/>
      <c r="M132" s="54">
        <f t="shared" si="51"/>
        <v>0</v>
      </c>
      <c r="N132" s="115"/>
      <c r="O132" s="54">
        <f t="shared" si="52"/>
        <v>0</v>
      </c>
      <c r="P132" s="54">
        <f t="shared" si="53"/>
        <v>0</v>
      </c>
    </row>
    <row r="133" spans="2:16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37122.359999999986</v>
      </c>
      <c r="E133" s="354">
        <f t="shared" si="45"/>
        <v>8942</v>
      </c>
      <c r="F133" s="55">
        <f t="shared" si="46"/>
        <v>28180.359999999986</v>
      </c>
      <c r="G133" s="55">
        <f t="shared" si="47"/>
        <v>32651.359999999986</v>
      </c>
      <c r="H133" s="355">
        <f t="shared" si="48"/>
        <v>12847.791164424325</v>
      </c>
      <c r="I133" s="381">
        <f t="shared" si="49"/>
        <v>12847.791164424325</v>
      </c>
      <c r="J133" s="54">
        <f t="shared" si="50"/>
        <v>0</v>
      </c>
      <c r="K133" s="54"/>
      <c r="L133" s="115"/>
      <c r="M133" s="54">
        <f t="shared" si="51"/>
        <v>0</v>
      </c>
      <c r="N133" s="115"/>
      <c r="O133" s="54">
        <f t="shared" si="52"/>
        <v>0</v>
      </c>
      <c r="P133" s="54">
        <f t="shared" si="53"/>
        <v>0</v>
      </c>
    </row>
    <row r="134" spans="2:16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28180.359999999986</v>
      </c>
      <c r="E134" s="354">
        <f t="shared" si="45"/>
        <v>8942</v>
      </c>
      <c r="F134" s="55">
        <f t="shared" si="46"/>
        <v>19238.359999999986</v>
      </c>
      <c r="G134" s="55">
        <f t="shared" si="47"/>
        <v>23709.359999999986</v>
      </c>
      <c r="H134" s="355">
        <f t="shared" si="48"/>
        <v>11778.139407429138</v>
      </c>
      <c r="I134" s="381">
        <f t="shared" si="49"/>
        <v>11778.139407429138</v>
      </c>
      <c r="J134" s="54">
        <f t="shared" si="50"/>
        <v>0</v>
      </c>
      <c r="K134" s="54"/>
      <c r="L134" s="115"/>
      <c r="M134" s="54">
        <f t="shared" si="51"/>
        <v>0</v>
      </c>
      <c r="N134" s="115"/>
      <c r="O134" s="54">
        <f t="shared" si="52"/>
        <v>0</v>
      </c>
      <c r="P134" s="54">
        <f t="shared" si="53"/>
        <v>0</v>
      </c>
    </row>
    <row r="135" spans="2:16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19238.359999999986</v>
      </c>
      <c r="E135" s="354">
        <f t="shared" si="45"/>
        <v>8942</v>
      </c>
      <c r="F135" s="55">
        <f t="shared" si="46"/>
        <v>10296.359999999986</v>
      </c>
      <c r="G135" s="55">
        <f t="shared" si="47"/>
        <v>14767.359999999986</v>
      </c>
      <c r="H135" s="355">
        <f t="shared" si="48"/>
        <v>10708.487650433954</v>
      </c>
      <c r="I135" s="381">
        <f t="shared" si="49"/>
        <v>10708.487650433954</v>
      </c>
      <c r="J135" s="54">
        <f t="shared" si="50"/>
        <v>0</v>
      </c>
      <c r="K135" s="54"/>
      <c r="L135" s="115"/>
      <c r="M135" s="54">
        <f t="shared" si="51"/>
        <v>0</v>
      </c>
      <c r="N135" s="115"/>
      <c r="O135" s="54">
        <f t="shared" si="52"/>
        <v>0</v>
      </c>
      <c r="P135" s="54">
        <f t="shared" si="53"/>
        <v>0</v>
      </c>
    </row>
    <row r="136" spans="2:16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10296.359999999986</v>
      </c>
      <c r="E136" s="354">
        <f t="shared" si="45"/>
        <v>8942</v>
      </c>
      <c r="F136" s="55">
        <f t="shared" si="46"/>
        <v>1354.359999999986</v>
      </c>
      <c r="G136" s="55">
        <f t="shared" si="47"/>
        <v>5825.359999999986</v>
      </c>
      <c r="H136" s="355">
        <f t="shared" si="48"/>
        <v>9638.835893438767</v>
      </c>
      <c r="I136" s="381">
        <f t="shared" si="49"/>
        <v>9638.835893438767</v>
      </c>
      <c r="J136" s="54">
        <f t="shared" si="50"/>
        <v>0</v>
      </c>
      <c r="K136" s="54"/>
      <c r="L136" s="115"/>
      <c r="M136" s="54">
        <f t="shared" si="51"/>
        <v>0</v>
      </c>
      <c r="N136" s="115"/>
      <c r="O136" s="54">
        <f t="shared" si="52"/>
        <v>0</v>
      </c>
      <c r="P136" s="54">
        <f t="shared" si="53"/>
        <v>0</v>
      </c>
    </row>
    <row r="137" spans="2:16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1354.359999999986</v>
      </c>
      <c r="E137" s="354">
        <f t="shared" si="45"/>
        <v>1354.359999999986</v>
      </c>
      <c r="F137" s="55">
        <f t="shared" si="46"/>
        <v>0</v>
      </c>
      <c r="G137" s="55">
        <f t="shared" si="47"/>
        <v>677.17999999999302</v>
      </c>
      <c r="H137" s="355">
        <f t="shared" si="48"/>
        <v>1435.3650074705733</v>
      </c>
      <c r="I137" s="381">
        <f t="shared" si="49"/>
        <v>1435.3650074705733</v>
      </c>
      <c r="J137" s="54">
        <f t="shared" si="50"/>
        <v>0</v>
      </c>
      <c r="K137" s="54"/>
      <c r="L137" s="115"/>
      <c r="M137" s="54">
        <f t="shared" si="51"/>
        <v>0</v>
      </c>
      <c r="N137" s="115"/>
      <c r="O137" s="54">
        <f t="shared" si="52"/>
        <v>0</v>
      </c>
      <c r="P137" s="54">
        <f t="shared" si="53"/>
        <v>0</v>
      </c>
    </row>
    <row r="138" spans="2:16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0</v>
      </c>
      <c r="E138" s="354">
        <f t="shared" si="45"/>
        <v>0</v>
      </c>
      <c r="F138" s="55">
        <f t="shared" si="46"/>
        <v>0</v>
      </c>
      <c r="G138" s="55">
        <f t="shared" si="47"/>
        <v>0</v>
      </c>
      <c r="H138" s="355">
        <f t="shared" si="48"/>
        <v>0</v>
      </c>
      <c r="I138" s="381">
        <f t="shared" si="49"/>
        <v>0</v>
      </c>
      <c r="J138" s="54">
        <f t="shared" si="50"/>
        <v>0</v>
      </c>
      <c r="K138" s="54"/>
      <c r="L138" s="115"/>
      <c r="M138" s="54">
        <f t="shared" si="51"/>
        <v>0</v>
      </c>
      <c r="N138" s="115"/>
      <c r="O138" s="54">
        <f t="shared" si="52"/>
        <v>0</v>
      </c>
      <c r="P138" s="54">
        <f t="shared" si="53"/>
        <v>0</v>
      </c>
    </row>
    <row r="139" spans="2:16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0</v>
      </c>
      <c r="E139" s="354">
        <f t="shared" si="45"/>
        <v>0</v>
      </c>
      <c r="F139" s="55">
        <f t="shared" si="46"/>
        <v>0</v>
      </c>
      <c r="G139" s="55">
        <f t="shared" si="47"/>
        <v>0</v>
      </c>
      <c r="H139" s="355">
        <f t="shared" si="48"/>
        <v>0</v>
      </c>
      <c r="I139" s="381">
        <f t="shared" si="49"/>
        <v>0</v>
      </c>
      <c r="J139" s="54">
        <f t="shared" si="50"/>
        <v>0</v>
      </c>
      <c r="K139" s="54"/>
      <c r="L139" s="115"/>
      <c r="M139" s="54">
        <f t="shared" si="51"/>
        <v>0</v>
      </c>
      <c r="N139" s="115"/>
      <c r="O139" s="54">
        <f t="shared" si="52"/>
        <v>0</v>
      </c>
      <c r="P139" s="54">
        <f t="shared" si="53"/>
        <v>0</v>
      </c>
    </row>
    <row r="140" spans="2:16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0</v>
      </c>
      <c r="E140" s="354">
        <f t="shared" si="45"/>
        <v>0</v>
      </c>
      <c r="F140" s="55">
        <f t="shared" si="46"/>
        <v>0</v>
      </c>
      <c r="G140" s="55">
        <f t="shared" si="47"/>
        <v>0</v>
      </c>
      <c r="H140" s="355">
        <f t="shared" si="48"/>
        <v>0</v>
      </c>
      <c r="I140" s="381">
        <f t="shared" si="49"/>
        <v>0</v>
      </c>
      <c r="J140" s="54">
        <f t="shared" si="50"/>
        <v>0</v>
      </c>
      <c r="K140" s="54"/>
      <c r="L140" s="115"/>
      <c r="M140" s="54">
        <f t="shared" si="51"/>
        <v>0</v>
      </c>
      <c r="N140" s="115"/>
      <c r="O140" s="54">
        <f t="shared" si="52"/>
        <v>0</v>
      </c>
      <c r="P140" s="54">
        <f t="shared" si="53"/>
        <v>0</v>
      </c>
    </row>
    <row r="141" spans="2:16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0</v>
      </c>
      <c r="E141" s="354">
        <f t="shared" si="45"/>
        <v>0</v>
      </c>
      <c r="F141" s="55">
        <f t="shared" si="46"/>
        <v>0</v>
      </c>
      <c r="G141" s="55">
        <f t="shared" si="47"/>
        <v>0</v>
      </c>
      <c r="H141" s="355">
        <f t="shared" si="48"/>
        <v>0</v>
      </c>
      <c r="I141" s="381">
        <f t="shared" si="49"/>
        <v>0</v>
      </c>
      <c r="J141" s="54">
        <f t="shared" si="50"/>
        <v>0</v>
      </c>
      <c r="K141" s="54"/>
      <c r="L141" s="115"/>
      <c r="M141" s="54">
        <f t="shared" si="51"/>
        <v>0</v>
      </c>
      <c r="N141" s="115"/>
      <c r="O141" s="54">
        <f t="shared" si="52"/>
        <v>0</v>
      </c>
      <c r="P141" s="54">
        <f t="shared" si="53"/>
        <v>0</v>
      </c>
    </row>
    <row r="142" spans="2:16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0</v>
      </c>
      <c r="E142" s="354">
        <f t="shared" si="45"/>
        <v>0</v>
      </c>
      <c r="F142" s="55">
        <f t="shared" si="46"/>
        <v>0</v>
      </c>
      <c r="G142" s="55">
        <f t="shared" si="47"/>
        <v>0</v>
      </c>
      <c r="H142" s="355">
        <f t="shared" si="48"/>
        <v>0</v>
      </c>
      <c r="I142" s="381">
        <f t="shared" si="49"/>
        <v>0</v>
      </c>
      <c r="J142" s="54">
        <f t="shared" si="50"/>
        <v>0</v>
      </c>
      <c r="K142" s="54"/>
      <c r="L142" s="115"/>
      <c r="M142" s="54">
        <f t="shared" si="51"/>
        <v>0</v>
      </c>
      <c r="N142" s="115"/>
      <c r="O142" s="54">
        <f t="shared" si="52"/>
        <v>0</v>
      </c>
      <c r="P142" s="54">
        <f t="shared" si="53"/>
        <v>0</v>
      </c>
    </row>
    <row r="143" spans="2:16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0</v>
      </c>
      <c r="E143" s="354">
        <f t="shared" si="45"/>
        <v>0</v>
      </c>
      <c r="F143" s="55">
        <f t="shared" si="46"/>
        <v>0</v>
      </c>
      <c r="G143" s="55">
        <f t="shared" si="47"/>
        <v>0</v>
      </c>
      <c r="H143" s="355">
        <f t="shared" si="48"/>
        <v>0</v>
      </c>
      <c r="I143" s="381">
        <f t="shared" si="49"/>
        <v>0</v>
      </c>
      <c r="J143" s="54">
        <f t="shared" si="50"/>
        <v>0</v>
      </c>
      <c r="K143" s="54"/>
      <c r="L143" s="115"/>
      <c r="M143" s="54">
        <f t="shared" si="51"/>
        <v>0</v>
      </c>
      <c r="N143" s="115"/>
      <c r="O143" s="54">
        <f t="shared" si="52"/>
        <v>0</v>
      </c>
      <c r="P143" s="54">
        <f t="shared" si="53"/>
        <v>0</v>
      </c>
    </row>
    <row r="144" spans="2:16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54">
        <f t="shared" si="45"/>
        <v>0</v>
      </c>
      <c r="F144" s="55">
        <f t="shared" si="46"/>
        <v>0</v>
      </c>
      <c r="G144" s="55">
        <f t="shared" si="47"/>
        <v>0</v>
      </c>
      <c r="H144" s="355">
        <f t="shared" si="48"/>
        <v>0</v>
      </c>
      <c r="I144" s="381">
        <f t="shared" si="49"/>
        <v>0</v>
      </c>
      <c r="J144" s="54">
        <f t="shared" si="50"/>
        <v>0</v>
      </c>
      <c r="K144" s="54"/>
      <c r="L144" s="115"/>
      <c r="M144" s="54">
        <f t="shared" si="51"/>
        <v>0</v>
      </c>
      <c r="N144" s="115"/>
      <c r="O144" s="54">
        <f t="shared" si="52"/>
        <v>0</v>
      </c>
      <c r="P144" s="54">
        <f t="shared" si="53"/>
        <v>0</v>
      </c>
    </row>
    <row r="145" spans="2:16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54">
        <f t="shared" si="45"/>
        <v>0</v>
      </c>
      <c r="F145" s="55">
        <f t="shared" si="46"/>
        <v>0</v>
      </c>
      <c r="G145" s="55">
        <f t="shared" si="47"/>
        <v>0</v>
      </c>
      <c r="H145" s="355">
        <f t="shared" si="48"/>
        <v>0</v>
      </c>
      <c r="I145" s="381">
        <f t="shared" si="49"/>
        <v>0</v>
      </c>
      <c r="J145" s="54">
        <f t="shared" si="50"/>
        <v>0</v>
      </c>
      <c r="K145" s="54"/>
      <c r="L145" s="115"/>
      <c r="M145" s="54">
        <f t="shared" si="51"/>
        <v>0</v>
      </c>
      <c r="N145" s="115"/>
      <c r="O145" s="54">
        <f t="shared" si="52"/>
        <v>0</v>
      </c>
      <c r="P145" s="54">
        <f t="shared" si="53"/>
        <v>0</v>
      </c>
    </row>
    <row r="146" spans="2:16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54">
        <f t="shared" si="45"/>
        <v>0</v>
      </c>
      <c r="F146" s="55">
        <f t="shared" si="46"/>
        <v>0</v>
      </c>
      <c r="G146" s="55">
        <f t="shared" si="47"/>
        <v>0</v>
      </c>
      <c r="H146" s="355">
        <f t="shared" si="48"/>
        <v>0</v>
      </c>
      <c r="I146" s="381">
        <f t="shared" si="49"/>
        <v>0</v>
      </c>
      <c r="J146" s="54">
        <f t="shared" si="50"/>
        <v>0</v>
      </c>
      <c r="K146" s="54"/>
      <c r="L146" s="115"/>
      <c r="M146" s="54">
        <f t="shared" si="51"/>
        <v>0</v>
      </c>
      <c r="N146" s="115"/>
      <c r="O146" s="54">
        <f t="shared" si="52"/>
        <v>0</v>
      </c>
      <c r="P146" s="54">
        <f t="shared" si="53"/>
        <v>0</v>
      </c>
    </row>
    <row r="147" spans="2:16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54">
        <f t="shared" si="45"/>
        <v>0</v>
      </c>
      <c r="F147" s="55">
        <f t="shared" si="46"/>
        <v>0</v>
      </c>
      <c r="G147" s="55">
        <f t="shared" si="47"/>
        <v>0</v>
      </c>
      <c r="H147" s="355">
        <f t="shared" si="48"/>
        <v>0</v>
      </c>
      <c r="I147" s="381">
        <f t="shared" si="49"/>
        <v>0</v>
      </c>
      <c r="J147" s="54">
        <f t="shared" si="50"/>
        <v>0</v>
      </c>
      <c r="K147" s="54"/>
      <c r="L147" s="115"/>
      <c r="M147" s="54">
        <f t="shared" si="51"/>
        <v>0</v>
      </c>
      <c r="N147" s="115"/>
      <c r="O147" s="54">
        <f t="shared" si="52"/>
        <v>0</v>
      </c>
      <c r="P147" s="54">
        <f t="shared" si="53"/>
        <v>0</v>
      </c>
    </row>
    <row r="148" spans="2:16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54">
        <f t="shared" si="45"/>
        <v>0</v>
      </c>
      <c r="F148" s="55">
        <f t="shared" si="46"/>
        <v>0</v>
      </c>
      <c r="G148" s="55">
        <f t="shared" si="47"/>
        <v>0</v>
      </c>
      <c r="H148" s="355">
        <f t="shared" si="48"/>
        <v>0</v>
      </c>
      <c r="I148" s="381">
        <f t="shared" si="49"/>
        <v>0</v>
      </c>
      <c r="J148" s="54">
        <f t="shared" si="50"/>
        <v>0</v>
      </c>
      <c r="K148" s="54"/>
      <c r="L148" s="115"/>
      <c r="M148" s="54">
        <f t="shared" si="51"/>
        <v>0</v>
      </c>
      <c r="N148" s="115"/>
      <c r="O148" s="54">
        <f t="shared" si="52"/>
        <v>0</v>
      </c>
      <c r="P148" s="54">
        <f t="shared" si="53"/>
        <v>0</v>
      </c>
    </row>
    <row r="149" spans="2:16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54">
        <f t="shared" si="45"/>
        <v>0</v>
      </c>
      <c r="F149" s="55">
        <f t="shared" si="46"/>
        <v>0</v>
      </c>
      <c r="G149" s="55">
        <f t="shared" si="47"/>
        <v>0</v>
      </c>
      <c r="H149" s="355">
        <f t="shared" si="48"/>
        <v>0</v>
      </c>
      <c r="I149" s="381">
        <f t="shared" si="49"/>
        <v>0</v>
      </c>
      <c r="J149" s="54">
        <f t="shared" si="50"/>
        <v>0</v>
      </c>
      <c r="K149" s="54"/>
      <c r="L149" s="115"/>
      <c r="M149" s="54">
        <f t="shared" si="51"/>
        <v>0</v>
      </c>
      <c r="N149" s="115"/>
      <c r="O149" s="54">
        <f t="shared" si="52"/>
        <v>0</v>
      </c>
      <c r="P149" s="54">
        <f t="shared" si="53"/>
        <v>0</v>
      </c>
    </row>
    <row r="150" spans="2:16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54">
        <f t="shared" si="45"/>
        <v>0</v>
      </c>
      <c r="F150" s="55">
        <f t="shared" si="46"/>
        <v>0</v>
      </c>
      <c r="G150" s="55">
        <f t="shared" si="47"/>
        <v>0</v>
      </c>
      <c r="H150" s="355">
        <f t="shared" si="48"/>
        <v>0</v>
      </c>
      <c r="I150" s="381">
        <f t="shared" si="49"/>
        <v>0</v>
      </c>
      <c r="J150" s="54">
        <f t="shared" si="50"/>
        <v>0</v>
      </c>
      <c r="K150" s="54"/>
      <c r="L150" s="115"/>
      <c r="M150" s="54">
        <f t="shared" si="51"/>
        <v>0</v>
      </c>
      <c r="N150" s="115"/>
      <c r="O150" s="54">
        <f t="shared" si="52"/>
        <v>0</v>
      </c>
      <c r="P150" s="54">
        <f t="shared" si="53"/>
        <v>0</v>
      </c>
    </row>
    <row r="151" spans="2:16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54">
        <f t="shared" si="45"/>
        <v>0</v>
      </c>
      <c r="F151" s="55">
        <f t="shared" si="46"/>
        <v>0</v>
      </c>
      <c r="G151" s="55">
        <f t="shared" si="47"/>
        <v>0</v>
      </c>
      <c r="H151" s="355">
        <f t="shared" si="48"/>
        <v>0</v>
      </c>
      <c r="I151" s="381">
        <f t="shared" si="49"/>
        <v>0</v>
      </c>
      <c r="J151" s="54">
        <f t="shared" si="50"/>
        <v>0</v>
      </c>
      <c r="K151" s="54"/>
      <c r="L151" s="115"/>
      <c r="M151" s="54">
        <f t="shared" si="51"/>
        <v>0</v>
      </c>
      <c r="N151" s="115"/>
      <c r="O151" s="54">
        <f t="shared" si="52"/>
        <v>0</v>
      </c>
      <c r="P151" s="54">
        <f t="shared" si="53"/>
        <v>0</v>
      </c>
    </row>
    <row r="152" spans="2:16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54">
        <f t="shared" si="45"/>
        <v>0</v>
      </c>
      <c r="F152" s="55">
        <f t="shared" si="46"/>
        <v>0</v>
      </c>
      <c r="G152" s="55">
        <f t="shared" si="47"/>
        <v>0</v>
      </c>
      <c r="H152" s="355">
        <f t="shared" si="48"/>
        <v>0</v>
      </c>
      <c r="I152" s="381">
        <f t="shared" si="49"/>
        <v>0</v>
      </c>
      <c r="J152" s="54">
        <f t="shared" si="50"/>
        <v>0</v>
      </c>
      <c r="K152" s="54"/>
      <c r="L152" s="115"/>
      <c r="M152" s="54">
        <f t="shared" si="51"/>
        <v>0</v>
      </c>
      <c r="N152" s="115"/>
      <c r="O152" s="54">
        <f t="shared" si="52"/>
        <v>0</v>
      </c>
      <c r="P152" s="54">
        <f t="shared" si="53"/>
        <v>0</v>
      </c>
    </row>
    <row r="153" spans="2:16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54">
        <f t="shared" si="45"/>
        <v>0</v>
      </c>
      <c r="F153" s="55">
        <f t="shared" si="46"/>
        <v>0</v>
      </c>
      <c r="G153" s="55">
        <f t="shared" si="47"/>
        <v>0</v>
      </c>
      <c r="H153" s="355">
        <f t="shared" si="48"/>
        <v>0</v>
      </c>
      <c r="I153" s="381">
        <f t="shared" si="49"/>
        <v>0</v>
      </c>
      <c r="J153" s="54">
        <f t="shared" si="50"/>
        <v>0</v>
      </c>
      <c r="K153" s="54"/>
      <c r="L153" s="115"/>
      <c r="M153" s="54">
        <f t="shared" si="51"/>
        <v>0</v>
      </c>
      <c r="N153" s="115"/>
      <c r="O153" s="54">
        <f t="shared" si="52"/>
        <v>0</v>
      </c>
      <c r="P153" s="54">
        <f t="shared" si="53"/>
        <v>0</v>
      </c>
    </row>
    <row r="154" spans="2:16" ht="13.5" thickBot="1">
      <c r="B154" s="7" t="str">
        <f t="shared" si="35"/>
        <v/>
      </c>
      <c r="C154" s="58">
        <f>IF(D93="","-",+C153+1)</f>
        <v>2072</v>
      </c>
      <c r="D154" s="82">
        <f>IF(F153+SUM(E$99:E153)=D$92,F153,D$92-SUM(E$99:E153))</f>
        <v>0</v>
      </c>
      <c r="E154" s="357">
        <f t="shared" si="45"/>
        <v>0</v>
      </c>
      <c r="F154" s="59">
        <f t="shared" si="46"/>
        <v>0</v>
      </c>
      <c r="G154" s="59">
        <f t="shared" si="47"/>
        <v>0</v>
      </c>
      <c r="H154" s="435">
        <f t="shared" ref="H154" si="54">+J$94*G154+E154</f>
        <v>0</v>
      </c>
      <c r="I154" s="436">
        <f t="shared" ref="I154" si="55">+J$95*G154+E154</f>
        <v>0</v>
      </c>
      <c r="J154" s="62">
        <f t="shared" si="50"/>
        <v>0</v>
      </c>
      <c r="K154" s="54"/>
      <c r="L154" s="116"/>
      <c r="M154" s="62">
        <f t="shared" si="51"/>
        <v>0</v>
      </c>
      <c r="N154" s="116"/>
      <c r="O154" s="62">
        <f t="shared" si="52"/>
        <v>0</v>
      </c>
      <c r="P154" s="62">
        <f t="shared" si="53"/>
        <v>0</v>
      </c>
    </row>
    <row r="155" spans="2:16">
      <c r="C155" s="12" t="s">
        <v>77</v>
      </c>
      <c r="D155" s="266"/>
      <c r="E155" s="266">
        <f>SUM(E99:E154)</f>
        <v>330872.36</v>
      </c>
      <c r="F155" s="266"/>
      <c r="G155" s="266"/>
      <c r="H155" s="266">
        <f>SUM(H99:H154)</f>
        <v>1074507.3042900998</v>
      </c>
      <c r="I155" s="266">
        <f>SUM(I99:I154)</f>
        <v>1074507.3042900998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3" priority="1" stopIfTrue="1" operator="equal">
      <formula>$I$10</formula>
    </cfRule>
  </conditionalFormatting>
  <conditionalFormatting sqref="C99:C154">
    <cfRule type="cellIs" dxfId="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1"/>
  <dimension ref="A1:P162"/>
  <sheetViews>
    <sheetView topLeftCell="A85" zoomScaleNormal="100" zoomScaleSheetLayoutView="78" workbookViewId="0">
      <selection activeCell="I89" sqref="I89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22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29370.408947142718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29370.408947142718</v>
      </c>
      <c r="O6" s="1"/>
      <c r="P6" s="1"/>
    </row>
    <row r="7" spans="1:16" ht="13.5" thickBot="1">
      <c r="C7" s="26" t="s">
        <v>46</v>
      </c>
      <c r="D7" s="88" t="s">
        <v>275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297</v>
      </c>
      <c r="E9" s="404" t="s">
        <v>298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244000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6421.0526315789475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2018</v>
      </c>
      <c r="D17" s="411">
        <v>0</v>
      </c>
      <c r="E17" s="432">
        <v>2711.1111111111113</v>
      </c>
      <c r="F17" s="411">
        <v>241288.88888888888</v>
      </c>
      <c r="G17" s="432">
        <v>17159.361980055266</v>
      </c>
      <c r="H17" s="414">
        <v>17159.361980055266</v>
      </c>
      <c r="I17" s="52">
        <f t="shared" ref="I17:I72" si="0">H17-G17</f>
        <v>0</v>
      </c>
      <c r="J17" s="52"/>
      <c r="K17" s="117">
        <f t="shared" ref="K17:K22" si="1">+G17</f>
        <v>17159.361980055266</v>
      </c>
      <c r="L17" s="53">
        <f t="shared" ref="L17:L72" si="2">IF(K17&lt;&gt;0,+G17-K17,0)</f>
        <v>0</v>
      </c>
      <c r="M17" s="117">
        <f t="shared" ref="M17:M22" si="3">+H17</f>
        <v>17159.361980055266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2019</v>
      </c>
      <c r="D18" s="411">
        <v>241288.88888888888</v>
      </c>
      <c r="E18" s="412">
        <v>6100</v>
      </c>
      <c r="F18" s="411">
        <v>235188.88888888888</v>
      </c>
      <c r="G18" s="412">
        <v>32700.951777404996</v>
      </c>
      <c r="H18" s="414">
        <v>32700.951777404996</v>
      </c>
      <c r="I18" s="52">
        <f t="shared" si="0"/>
        <v>0</v>
      </c>
      <c r="J18" s="52"/>
      <c r="K18" s="54">
        <f t="shared" si="1"/>
        <v>32700.951777404996</v>
      </c>
      <c r="L18" s="54">
        <f t="shared" si="2"/>
        <v>0</v>
      </c>
      <c r="M18" s="54">
        <f t="shared" si="3"/>
        <v>32700.951777404996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>IU</v>
      </c>
      <c r="C19" s="50">
        <f>IF(D11="","-",+C18+1)</f>
        <v>2020</v>
      </c>
      <c r="D19" s="411">
        <v>235866.66666666666</v>
      </c>
      <c r="E19" s="412">
        <v>5809.5238095238092</v>
      </c>
      <c r="F19" s="411">
        <v>230057.14285714284</v>
      </c>
      <c r="G19" s="412">
        <v>30970.52236185109</v>
      </c>
      <c r="H19" s="414">
        <v>30970.52236185109</v>
      </c>
      <c r="I19" s="52">
        <f t="shared" si="0"/>
        <v>0</v>
      </c>
      <c r="J19" s="52"/>
      <c r="K19" s="54">
        <f t="shared" si="1"/>
        <v>30970.52236185109</v>
      </c>
      <c r="L19" s="54">
        <f t="shared" ref="L19" si="6">IF(K19&lt;&gt;0,+G19-K19,0)</f>
        <v>0</v>
      </c>
      <c r="M19" s="54">
        <f t="shared" si="3"/>
        <v>30970.52236185109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2021</v>
      </c>
      <c r="D20" s="411">
        <v>229379.36507936509</v>
      </c>
      <c r="E20" s="412">
        <v>5674.4186046511632</v>
      </c>
      <c r="F20" s="411">
        <v>223704.94647471391</v>
      </c>
      <c r="G20" s="412">
        <v>30100.568065113996</v>
      </c>
      <c r="H20" s="414">
        <v>30100.568065113996</v>
      </c>
      <c r="I20" s="52">
        <f t="shared" si="0"/>
        <v>0</v>
      </c>
      <c r="J20" s="52"/>
      <c r="K20" s="54">
        <f t="shared" si="1"/>
        <v>30100.568065113996</v>
      </c>
      <c r="L20" s="54">
        <f t="shared" ref="L20" si="8">IF(K20&lt;&gt;0,+G20-K20,0)</f>
        <v>0</v>
      </c>
      <c r="M20" s="54">
        <f t="shared" si="3"/>
        <v>30100.568065113996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/>
      </c>
      <c r="C21" s="50">
        <f>IF(D11="","-",+C20+1)</f>
        <v>2022</v>
      </c>
      <c r="D21" s="411">
        <v>223704.94647471391</v>
      </c>
      <c r="E21" s="412">
        <v>5809.5238095238092</v>
      </c>
      <c r="F21" s="411">
        <v>217895.4226651901</v>
      </c>
      <c r="G21" s="412">
        <v>29614.266782481478</v>
      </c>
      <c r="H21" s="414">
        <v>29614.266782481478</v>
      </c>
      <c r="I21" s="52">
        <f t="shared" si="0"/>
        <v>0</v>
      </c>
      <c r="J21" s="52"/>
      <c r="K21" s="54">
        <f t="shared" si="1"/>
        <v>29614.266782481478</v>
      </c>
      <c r="L21" s="54">
        <f t="shared" ref="L21" si="9">IF(K21&lt;&gt;0,+G21-K21,0)</f>
        <v>0</v>
      </c>
      <c r="M21" s="54">
        <f t="shared" si="3"/>
        <v>29614.266782481478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/>
      </c>
      <c r="C22" s="50">
        <f>IF(D11="","-",+C21+1)</f>
        <v>2023</v>
      </c>
      <c r="D22" s="411">
        <v>217895.4226651901</v>
      </c>
      <c r="E22" s="412">
        <v>6256.4102564102568</v>
      </c>
      <c r="F22" s="411">
        <v>211639.01240877985</v>
      </c>
      <c r="G22" s="412">
        <v>31890.799977104634</v>
      </c>
      <c r="H22" s="414">
        <v>31890.799977104634</v>
      </c>
      <c r="I22" s="52">
        <f t="shared" si="0"/>
        <v>0</v>
      </c>
      <c r="J22" s="52"/>
      <c r="K22" s="54">
        <f t="shared" si="1"/>
        <v>31890.799977104634</v>
      </c>
      <c r="L22" s="54">
        <f t="shared" ref="L22" si="10">IF(K22&lt;&gt;0,+G22-K22,0)</f>
        <v>0</v>
      </c>
      <c r="M22" s="54">
        <f t="shared" si="3"/>
        <v>31890.799977104634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/>
      </c>
      <c r="C23" s="50">
        <f>IF(D11="","-",+C22+1)</f>
        <v>2024</v>
      </c>
      <c r="D23" s="411">
        <v>211639.01240877985</v>
      </c>
      <c r="E23" s="412">
        <v>6421.0526315789475</v>
      </c>
      <c r="F23" s="411">
        <v>205217.95977720089</v>
      </c>
      <c r="G23" s="412">
        <v>30127.747736725432</v>
      </c>
      <c r="H23" s="414">
        <v>30127.747736725432</v>
      </c>
      <c r="I23" s="52">
        <f t="shared" si="0"/>
        <v>0</v>
      </c>
      <c r="J23" s="52"/>
      <c r="K23" s="54">
        <f t="shared" ref="K23" si="11">+G23</f>
        <v>30127.747736725432</v>
      </c>
      <c r="L23" s="54">
        <f t="shared" ref="L23" si="12">IF(K23&lt;&gt;0,+G23-K23,0)</f>
        <v>0</v>
      </c>
      <c r="M23" s="54">
        <f t="shared" ref="M23" si="13">+H23</f>
        <v>30127.747736725432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>
      <c r="B24" s="7" t="str">
        <f t="shared" si="7"/>
        <v/>
      </c>
      <c r="C24" s="50">
        <f>IF(D11="","-",+C23+1)</f>
        <v>2025</v>
      </c>
      <c r="D24" s="411">
        <v>205217.95977720089</v>
      </c>
      <c r="E24" s="412">
        <v>6421.0526315789475</v>
      </c>
      <c r="F24" s="411">
        <v>198796.90714562192</v>
      </c>
      <c r="G24" s="412">
        <v>29370.408947142718</v>
      </c>
      <c r="H24" s="414">
        <v>29370.408947142718</v>
      </c>
      <c r="I24" s="52">
        <f t="shared" si="0"/>
        <v>0</v>
      </c>
      <c r="J24" s="52"/>
      <c r="K24" s="54">
        <f t="shared" ref="K24" si="16">+G24</f>
        <v>29370.408947142718</v>
      </c>
      <c r="L24" s="54">
        <f t="shared" ref="L24" si="17">IF(K24&lt;&gt;0,+G24-K24,0)</f>
        <v>0</v>
      </c>
      <c r="M24" s="54">
        <f t="shared" ref="M24" si="18">+H24</f>
        <v>29370.408947142718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198796.90714562192</v>
      </c>
      <c r="E25" s="354">
        <f t="shared" ref="E25:E72" si="21">IF(+I$14&lt;F24,I$14,D25)</f>
        <v>6421.0526315789475</v>
      </c>
      <c r="F25" s="55">
        <f t="shared" ref="F25:F72" si="22">+D25-E25</f>
        <v>192375.85451404296</v>
      </c>
      <c r="G25" s="355">
        <f t="shared" ref="G25:G72" si="23">(D25+F25)/2*I$12+E25</f>
        <v>28640.935668669317</v>
      </c>
      <c r="H25" s="336">
        <f t="shared" ref="H25:H72" si="24">+(D25+F25)/2*I$13+E25</f>
        <v>28640.935668669317</v>
      </c>
      <c r="I25" s="52">
        <f t="shared" si="0"/>
        <v>0</v>
      </c>
      <c r="J25" s="52"/>
      <c r="K25" s="115"/>
      <c r="L25" s="54">
        <f t="shared" si="2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192375.85451404296</v>
      </c>
      <c r="E26" s="354">
        <f t="shared" si="21"/>
        <v>6421.0526315789475</v>
      </c>
      <c r="F26" s="55">
        <f t="shared" si="22"/>
        <v>185954.801882464</v>
      </c>
      <c r="G26" s="355">
        <f t="shared" si="23"/>
        <v>27911.462390195909</v>
      </c>
      <c r="H26" s="336">
        <f t="shared" si="24"/>
        <v>27911.462390195909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185954.801882464</v>
      </c>
      <c r="E27" s="354">
        <f t="shared" si="21"/>
        <v>6421.0526315789475</v>
      </c>
      <c r="F27" s="55">
        <f t="shared" si="22"/>
        <v>179533.74925088504</v>
      </c>
      <c r="G27" s="355">
        <f t="shared" si="23"/>
        <v>27181.989111722505</v>
      </c>
      <c r="H27" s="336">
        <f t="shared" si="24"/>
        <v>27181.989111722505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179533.74925088504</v>
      </c>
      <c r="E28" s="354">
        <f t="shared" si="21"/>
        <v>6421.0526315789475</v>
      </c>
      <c r="F28" s="55">
        <f t="shared" si="22"/>
        <v>173112.69661930608</v>
      </c>
      <c r="G28" s="355">
        <f t="shared" si="23"/>
        <v>26452.515833249097</v>
      </c>
      <c r="H28" s="336">
        <f t="shared" si="24"/>
        <v>26452.515833249097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173112.69661930608</v>
      </c>
      <c r="E29" s="354">
        <f t="shared" si="21"/>
        <v>6421.0526315789475</v>
      </c>
      <c r="F29" s="55">
        <f t="shared" si="22"/>
        <v>166691.64398772712</v>
      </c>
      <c r="G29" s="355">
        <f t="shared" si="23"/>
        <v>25723.042554775697</v>
      </c>
      <c r="H29" s="336">
        <f t="shared" si="24"/>
        <v>25723.042554775697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166691.64398772712</v>
      </c>
      <c r="E30" s="354">
        <f t="shared" si="21"/>
        <v>6421.0526315789475</v>
      </c>
      <c r="F30" s="55">
        <f t="shared" si="22"/>
        <v>160270.59135614816</v>
      </c>
      <c r="G30" s="355">
        <f t="shared" si="23"/>
        <v>24993.569276302289</v>
      </c>
      <c r="H30" s="336">
        <f t="shared" si="24"/>
        <v>24993.569276302289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160270.59135614816</v>
      </c>
      <c r="E31" s="354">
        <f t="shared" si="21"/>
        <v>6421.0526315789475</v>
      </c>
      <c r="F31" s="55">
        <f t="shared" si="22"/>
        <v>153849.5387245692</v>
      </c>
      <c r="G31" s="355">
        <f t="shared" si="23"/>
        <v>24264.095997828885</v>
      </c>
      <c r="H31" s="336">
        <f t="shared" si="24"/>
        <v>24264.095997828885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153849.5387245692</v>
      </c>
      <c r="E32" s="354">
        <f t="shared" si="21"/>
        <v>6421.0526315789475</v>
      </c>
      <c r="F32" s="55">
        <f t="shared" si="22"/>
        <v>147428.48609299024</v>
      </c>
      <c r="G32" s="355">
        <f t="shared" si="23"/>
        <v>23534.622719355477</v>
      </c>
      <c r="H32" s="336">
        <f t="shared" si="24"/>
        <v>23534.622719355477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147428.48609299024</v>
      </c>
      <c r="E33" s="354">
        <f t="shared" si="21"/>
        <v>6421.0526315789475</v>
      </c>
      <c r="F33" s="55">
        <f t="shared" si="22"/>
        <v>141007.43346141127</v>
      </c>
      <c r="G33" s="355">
        <f t="shared" si="23"/>
        <v>22805.149440882076</v>
      </c>
      <c r="H33" s="336">
        <f t="shared" si="24"/>
        <v>22805.149440882076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141007.43346141127</v>
      </c>
      <c r="E34" s="354">
        <f t="shared" si="21"/>
        <v>6421.0526315789475</v>
      </c>
      <c r="F34" s="55">
        <f t="shared" si="22"/>
        <v>134586.38082983231</v>
      </c>
      <c r="G34" s="355">
        <f t="shared" si="23"/>
        <v>22075.676162408668</v>
      </c>
      <c r="H34" s="336">
        <f t="shared" si="24"/>
        <v>22075.676162408668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134586.38082983231</v>
      </c>
      <c r="E35" s="354">
        <f t="shared" si="21"/>
        <v>6421.0526315789475</v>
      </c>
      <c r="F35" s="55">
        <f t="shared" si="22"/>
        <v>128165.32819825337</v>
      </c>
      <c r="G35" s="355">
        <f t="shared" si="23"/>
        <v>21346.202883935268</v>
      </c>
      <c r="H35" s="336">
        <f t="shared" si="24"/>
        <v>21346.202883935268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128165.32819825337</v>
      </c>
      <c r="E36" s="354">
        <f t="shared" si="21"/>
        <v>6421.0526315789475</v>
      </c>
      <c r="F36" s="55">
        <f t="shared" si="22"/>
        <v>121744.27556667442</v>
      </c>
      <c r="G36" s="355">
        <f t="shared" si="23"/>
        <v>20616.72960546186</v>
      </c>
      <c r="H36" s="336">
        <f t="shared" si="24"/>
        <v>20616.72960546186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121744.27556667442</v>
      </c>
      <c r="E37" s="354">
        <f t="shared" si="21"/>
        <v>6421.0526315789475</v>
      </c>
      <c r="F37" s="55">
        <f t="shared" si="22"/>
        <v>115323.22293509547</v>
      </c>
      <c r="G37" s="355">
        <f t="shared" si="23"/>
        <v>19887.256326988459</v>
      </c>
      <c r="H37" s="336">
        <f t="shared" si="24"/>
        <v>19887.256326988459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115323.22293509547</v>
      </c>
      <c r="E38" s="354">
        <f t="shared" si="21"/>
        <v>6421.0526315789475</v>
      </c>
      <c r="F38" s="55">
        <f t="shared" si="22"/>
        <v>108902.17030351653</v>
      </c>
      <c r="G38" s="355">
        <f t="shared" si="23"/>
        <v>19157.783048515055</v>
      </c>
      <c r="H38" s="336">
        <f t="shared" si="24"/>
        <v>19157.783048515055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108902.17030351653</v>
      </c>
      <c r="E39" s="354">
        <f t="shared" si="21"/>
        <v>6421.0526315789475</v>
      </c>
      <c r="F39" s="55">
        <f t="shared" si="22"/>
        <v>102481.11767193758</v>
      </c>
      <c r="G39" s="355">
        <f t="shared" si="23"/>
        <v>18428.309770041651</v>
      </c>
      <c r="H39" s="336">
        <f t="shared" si="24"/>
        <v>18428.309770041651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102481.11767193758</v>
      </c>
      <c r="E40" s="354">
        <f t="shared" si="21"/>
        <v>6421.0526315789475</v>
      </c>
      <c r="F40" s="55">
        <f t="shared" si="22"/>
        <v>96060.065040358633</v>
      </c>
      <c r="G40" s="355">
        <f t="shared" si="23"/>
        <v>17698.836491568247</v>
      </c>
      <c r="H40" s="336">
        <f t="shared" si="24"/>
        <v>17698.836491568247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96060.065040358633</v>
      </c>
      <c r="E41" s="354">
        <f t="shared" si="21"/>
        <v>6421.0526315789475</v>
      </c>
      <c r="F41" s="55">
        <f t="shared" si="22"/>
        <v>89639.012408779687</v>
      </c>
      <c r="G41" s="355">
        <f t="shared" si="23"/>
        <v>16969.363213094846</v>
      </c>
      <c r="H41" s="336">
        <f t="shared" si="24"/>
        <v>16969.363213094846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89639.012408779687</v>
      </c>
      <c r="E42" s="354">
        <f t="shared" si="21"/>
        <v>6421.0526315789475</v>
      </c>
      <c r="F42" s="55">
        <f t="shared" si="22"/>
        <v>83217.95977720074</v>
      </c>
      <c r="G42" s="355">
        <f t="shared" si="23"/>
        <v>16239.889934621442</v>
      </c>
      <c r="H42" s="336">
        <f t="shared" si="24"/>
        <v>16239.889934621442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83217.95977720074</v>
      </c>
      <c r="E43" s="354">
        <f t="shared" si="21"/>
        <v>6421.0526315789475</v>
      </c>
      <c r="F43" s="55">
        <f t="shared" si="22"/>
        <v>76796.907145621793</v>
      </c>
      <c r="G43" s="355">
        <f t="shared" si="23"/>
        <v>15510.416656148038</v>
      </c>
      <c r="H43" s="336">
        <f t="shared" si="24"/>
        <v>15510.416656148038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76796.907145621793</v>
      </c>
      <c r="E44" s="354">
        <f t="shared" si="21"/>
        <v>6421.0526315789475</v>
      </c>
      <c r="F44" s="55">
        <f t="shared" si="22"/>
        <v>70375.854514042847</v>
      </c>
      <c r="G44" s="355">
        <f t="shared" si="23"/>
        <v>14780.943377674634</v>
      </c>
      <c r="H44" s="336">
        <f t="shared" si="24"/>
        <v>14780.943377674634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70375.854514042847</v>
      </c>
      <c r="E45" s="354">
        <f t="shared" si="21"/>
        <v>6421.0526315789475</v>
      </c>
      <c r="F45" s="55">
        <f t="shared" si="22"/>
        <v>63954.8018824639</v>
      </c>
      <c r="G45" s="355">
        <f t="shared" si="23"/>
        <v>14051.470099201231</v>
      </c>
      <c r="H45" s="336">
        <f t="shared" si="24"/>
        <v>14051.470099201231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63954.8018824639</v>
      </c>
      <c r="E46" s="354">
        <f t="shared" si="21"/>
        <v>6421.0526315789475</v>
      </c>
      <c r="F46" s="55">
        <f t="shared" si="22"/>
        <v>57533.749250884954</v>
      </c>
      <c r="G46" s="355">
        <f t="shared" si="23"/>
        <v>13321.996820727827</v>
      </c>
      <c r="H46" s="336">
        <f t="shared" si="24"/>
        <v>13321.996820727827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57533.749250884954</v>
      </c>
      <c r="E47" s="354">
        <f t="shared" si="21"/>
        <v>6421.0526315789475</v>
      </c>
      <c r="F47" s="55">
        <f t="shared" si="22"/>
        <v>51112.696619306007</v>
      </c>
      <c r="G47" s="355">
        <f t="shared" si="23"/>
        <v>12592.523542254425</v>
      </c>
      <c r="H47" s="336">
        <f t="shared" si="24"/>
        <v>12592.523542254425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51112.696619306007</v>
      </c>
      <c r="E48" s="354">
        <f t="shared" si="21"/>
        <v>6421.0526315789475</v>
      </c>
      <c r="F48" s="55">
        <f t="shared" si="22"/>
        <v>44691.64398772706</v>
      </c>
      <c r="G48" s="355">
        <f t="shared" si="23"/>
        <v>11863.05026378102</v>
      </c>
      <c r="H48" s="336">
        <f t="shared" si="24"/>
        <v>11863.05026378102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44691.64398772706</v>
      </c>
      <c r="E49" s="354">
        <f t="shared" si="21"/>
        <v>6421.0526315789475</v>
      </c>
      <c r="F49" s="55">
        <f t="shared" si="22"/>
        <v>38270.591356148114</v>
      </c>
      <c r="G49" s="355">
        <f t="shared" si="23"/>
        <v>11133.576985307616</v>
      </c>
      <c r="H49" s="336">
        <f t="shared" si="24"/>
        <v>11133.576985307616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38270.591356148114</v>
      </c>
      <c r="E50" s="354">
        <f t="shared" si="21"/>
        <v>6421.0526315789475</v>
      </c>
      <c r="F50" s="55">
        <f t="shared" si="22"/>
        <v>31849.538724569167</v>
      </c>
      <c r="G50" s="355">
        <f t="shared" si="23"/>
        <v>10404.103706834214</v>
      </c>
      <c r="H50" s="336">
        <f t="shared" si="24"/>
        <v>10404.103706834214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31849.538724569167</v>
      </c>
      <c r="E51" s="354">
        <f t="shared" si="21"/>
        <v>6421.0526315789475</v>
      </c>
      <c r="F51" s="55">
        <f t="shared" si="22"/>
        <v>25428.486092990221</v>
      </c>
      <c r="G51" s="355">
        <f t="shared" si="23"/>
        <v>9674.6304283608097</v>
      </c>
      <c r="H51" s="336">
        <f t="shared" si="24"/>
        <v>9674.6304283608097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25428.486092990221</v>
      </c>
      <c r="E52" s="354">
        <f t="shared" si="21"/>
        <v>6421.0526315789475</v>
      </c>
      <c r="F52" s="55">
        <f t="shared" si="22"/>
        <v>19007.433461411274</v>
      </c>
      <c r="G52" s="355">
        <f t="shared" si="23"/>
        <v>8945.1571498874073</v>
      </c>
      <c r="H52" s="336">
        <f t="shared" si="24"/>
        <v>8945.1571498874073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19007.433461411274</v>
      </c>
      <c r="E53" s="354">
        <f t="shared" si="21"/>
        <v>6421.0526315789475</v>
      </c>
      <c r="F53" s="55">
        <f t="shared" si="22"/>
        <v>12586.380829832327</v>
      </c>
      <c r="G53" s="355">
        <f t="shared" si="23"/>
        <v>8215.6838714140031</v>
      </c>
      <c r="H53" s="336">
        <f t="shared" si="24"/>
        <v>8215.6838714140031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12586.380829832327</v>
      </c>
      <c r="E54" s="354">
        <f t="shared" si="21"/>
        <v>6421.0526315789475</v>
      </c>
      <c r="F54" s="55">
        <f t="shared" si="22"/>
        <v>6165.3281982533799</v>
      </c>
      <c r="G54" s="355">
        <f t="shared" si="23"/>
        <v>7486.2105929405989</v>
      </c>
      <c r="H54" s="336">
        <f t="shared" si="24"/>
        <v>7486.2105929405989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6165.3281982533799</v>
      </c>
      <c r="E55" s="354">
        <f t="shared" si="21"/>
        <v>6165.3281982533799</v>
      </c>
      <c r="F55" s="55">
        <f t="shared" si="22"/>
        <v>0</v>
      </c>
      <c r="G55" s="355">
        <f t="shared" si="23"/>
        <v>6515.538859315855</v>
      </c>
      <c r="H55" s="336">
        <f t="shared" si="24"/>
        <v>6515.538859315855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0</v>
      </c>
      <c r="E56" s="354">
        <f t="shared" si="21"/>
        <v>0</v>
      </c>
      <c r="F56" s="55">
        <f t="shared" si="22"/>
        <v>0</v>
      </c>
      <c r="G56" s="355">
        <f t="shared" si="23"/>
        <v>0</v>
      </c>
      <c r="H56" s="336">
        <f t="shared" si="24"/>
        <v>0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21"/>
        <v>0</v>
      </c>
      <c r="F57" s="55">
        <f t="shared" si="22"/>
        <v>0</v>
      </c>
      <c r="G57" s="355">
        <f t="shared" si="23"/>
        <v>0</v>
      </c>
      <c r="H57" s="336">
        <f t="shared" si="24"/>
        <v>0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21"/>
        <v>0</v>
      </c>
      <c r="F58" s="55">
        <f t="shared" si="22"/>
        <v>0</v>
      </c>
      <c r="G58" s="355">
        <f t="shared" si="23"/>
        <v>0</v>
      </c>
      <c r="H58" s="336">
        <f t="shared" si="24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21"/>
        <v>0</v>
      </c>
      <c r="F59" s="55">
        <f t="shared" si="22"/>
        <v>0</v>
      </c>
      <c r="G59" s="355">
        <f t="shared" si="23"/>
        <v>0</v>
      </c>
      <c r="H59" s="336">
        <f t="shared" si="24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21"/>
        <v>0</v>
      </c>
      <c r="F60" s="55">
        <f t="shared" si="22"/>
        <v>0</v>
      </c>
      <c r="G60" s="355">
        <f t="shared" si="23"/>
        <v>0</v>
      </c>
      <c r="H60" s="336">
        <f t="shared" si="24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21"/>
        <v>0</v>
      </c>
      <c r="F61" s="55">
        <f t="shared" si="22"/>
        <v>0</v>
      </c>
      <c r="G61" s="355">
        <f t="shared" si="23"/>
        <v>0</v>
      </c>
      <c r="H61" s="336">
        <f t="shared" si="24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21"/>
        <v>0</v>
      </c>
      <c r="F62" s="55">
        <f t="shared" si="22"/>
        <v>0</v>
      </c>
      <c r="G62" s="355">
        <f t="shared" si="23"/>
        <v>0</v>
      </c>
      <c r="H62" s="336">
        <f t="shared" si="24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21"/>
        <v>0</v>
      </c>
      <c r="F63" s="55">
        <f t="shared" si="22"/>
        <v>0</v>
      </c>
      <c r="G63" s="355">
        <f t="shared" si="23"/>
        <v>0</v>
      </c>
      <c r="H63" s="336">
        <f t="shared" si="24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21"/>
        <v>0</v>
      </c>
      <c r="F64" s="55">
        <f t="shared" si="22"/>
        <v>0</v>
      </c>
      <c r="G64" s="355">
        <f t="shared" si="23"/>
        <v>0</v>
      </c>
      <c r="H64" s="336">
        <f t="shared" si="24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21"/>
        <v>0</v>
      </c>
      <c r="F65" s="55">
        <f t="shared" si="22"/>
        <v>0</v>
      </c>
      <c r="G65" s="355">
        <f t="shared" si="23"/>
        <v>0</v>
      </c>
      <c r="H65" s="336">
        <f t="shared" si="24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21"/>
        <v>0</v>
      </c>
      <c r="F66" s="55">
        <f t="shared" si="22"/>
        <v>0</v>
      </c>
      <c r="G66" s="355">
        <f t="shared" si="23"/>
        <v>0</v>
      </c>
      <c r="H66" s="336">
        <f t="shared" si="24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21"/>
        <v>0</v>
      </c>
      <c r="F67" s="55">
        <f t="shared" si="22"/>
        <v>0</v>
      </c>
      <c r="G67" s="355">
        <f t="shared" si="23"/>
        <v>0</v>
      </c>
      <c r="H67" s="336">
        <f t="shared" si="24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21"/>
        <v>0</v>
      </c>
      <c r="F68" s="55">
        <f t="shared" si="22"/>
        <v>0</v>
      </c>
      <c r="G68" s="355">
        <f t="shared" si="23"/>
        <v>0</v>
      </c>
      <c r="H68" s="336">
        <f t="shared" si="24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21"/>
        <v>0</v>
      </c>
      <c r="F69" s="55">
        <f t="shared" si="22"/>
        <v>0</v>
      </c>
      <c r="G69" s="355">
        <f t="shared" si="23"/>
        <v>0</v>
      </c>
      <c r="H69" s="336">
        <f t="shared" si="24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21"/>
        <v>0</v>
      </c>
      <c r="F70" s="55">
        <f t="shared" si="22"/>
        <v>0</v>
      </c>
      <c r="G70" s="355">
        <f t="shared" si="23"/>
        <v>0</v>
      </c>
      <c r="H70" s="336">
        <f t="shared" si="24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21"/>
        <v>0</v>
      </c>
      <c r="F71" s="55">
        <f t="shared" si="22"/>
        <v>0</v>
      </c>
      <c r="G71" s="355">
        <f t="shared" si="23"/>
        <v>0</v>
      </c>
      <c r="H71" s="336">
        <f t="shared" si="24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 t="shared" si="21"/>
        <v>0</v>
      </c>
      <c r="F72" s="59">
        <f t="shared" si="22"/>
        <v>0</v>
      </c>
      <c r="G72" s="382">
        <f t="shared" si="23"/>
        <v>0</v>
      </c>
      <c r="H72" s="334">
        <f t="shared" si="24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>
      <c r="C73" s="12" t="s">
        <v>77</v>
      </c>
      <c r="D73" s="266"/>
      <c r="E73" s="266">
        <f>SUM(E17:E72)</f>
        <v>244000.00000000006</v>
      </c>
      <c r="F73" s="266"/>
      <c r="G73" s="266">
        <f>SUM(G17:G72)</f>
        <v>780357.36041134398</v>
      </c>
      <c r="H73" s="266">
        <f>SUM(H17:H72)</f>
        <v>780357.36041134398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22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29370.408947142718</v>
      </c>
      <c r="N87" s="364">
        <f>IF(J92&lt;D11,0,VLOOKUP(J92,C17:O72,11))</f>
        <v>29370.408947142718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30640.931789507908</v>
      </c>
      <c r="N88" s="367">
        <f>IF(J92&lt;D11,0,VLOOKUP(J92,C99:P154,7))</f>
        <v>30640.931789507908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Northeastern Station 138 kV Terminal Upgrades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1270.5228423651897</v>
      </c>
      <c r="N89" s="369">
        <f>+N88-N87</f>
        <v>1270.5228423651897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TP2015169</v>
      </c>
      <c r="E91" s="74" t="str">
        <f>E9</f>
        <v xml:space="preserve">  SPP Project ID = 31003</v>
      </c>
      <c r="F91" s="74"/>
      <c r="G91" s="74"/>
      <c r="H91" s="74"/>
      <c r="I91" s="74"/>
      <c r="J91" s="74"/>
    </row>
    <row r="92" spans="1:16">
      <c r="C92" s="128" t="s">
        <v>226</v>
      </c>
      <c r="D92" s="372">
        <v>244000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D11</f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D12</f>
        <v>6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6595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2018</v>
      </c>
      <c r="D99" s="411">
        <v>0</v>
      </c>
      <c r="E99" s="432">
        <v>2837</v>
      </c>
      <c r="F99" s="411">
        <v>241163</v>
      </c>
      <c r="G99" s="432">
        <v>120581.5</v>
      </c>
      <c r="H99" s="414">
        <v>15225.00875134001</v>
      </c>
      <c r="I99" s="431">
        <v>15225.00875134001</v>
      </c>
      <c r="J99" s="54">
        <f t="shared" ref="J99:J130" si="25">+I99-H99</f>
        <v>0</v>
      </c>
      <c r="K99" s="54"/>
      <c r="L99" s="53">
        <f>+H99</f>
        <v>15225.00875134001</v>
      </c>
      <c r="M99" s="53">
        <f t="shared" ref="M99" si="26">IF(L99&lt;&gt;0,+H99-L99,0)</f>
        <v>0</v>
      </c>
      <c r="N99" s="53">
        <f>+I99</f>
        <v>15225.00875134001</v>
      </c>
      <c r="O99" s="53">
        <f t="shared" ref="O99" si="27">IF(N99&lt;&gt;0,+I99-N99,0)</f>
        <v>0</v>
      </c>
      <c r="P99" s="53">
        <f t="shared" ref="P99" si="28">+O99-M99</f>
        <v>0</v>
      </c>
    </row>
    <row r="100" spans="1:16">
      <c r="B100" s="7" t="str">
        <f>IF(D100=F99,"","IU")</f>
        <v/>
      </c>
      <c r="C100" s="50">
        <f>IF(D93="","-",+C99+1)</f>
        <v>2019</v>
      </c>
      <c r="D100" s="411">
        <v>241163</v>
      </c>
      <c r="E100" s="412">
        <v>5951</v>
      </c>
      <c r="F100" s="413">
        <v>235212</v>
      </c>
      <c r="G100" s="413">
        <v>238187.5</v>
      </c>
      <c r="H100" s="430">
        <v>30511.472087080136</v>
      </c>
      <c r="I100" s="431">
        <v>30511.472087080136</v>
      </c>
      <c r="J100" s="54">
        <f t="shared" si="25"/>
        <v>0</v>
      </c>
      <c r="K100" s="54"/>
      <c r="L100" s="350">
        <f t="shared" ref="L100:L105" si="29">H100</f>
        <v>30511.472087080136</v>
      </c>
      <c r="M100" s="63">
        <f t="shared" ref="M100:M105" si="30">IF(L100&lt;&gt;0,+H100-L100,0)</f>
        <v>0</v>
      </c>
      <c r="N100" s="350">
        <f t="shared" ref="N100:N105" si="31">I100</f>
        <v>30511.472087080136</v>
      </c>
      <c r="O100" s="54">
        <f t="shared" ref="O100:O130" si="32">IF(N100&lt;&gt;0,+I100-N100,0)</f>
        <v>0</v>
      </c>
      <c r="P100" s="54">
        <f t="shared" ref="P100:P130" si="33">+O100-M100</f>
        <v>0</v>
      </c>
    </row>
    <row r="101" spans="1:16">
      <c r="B101" s="7" t="str">
        <f t="shared" ref="B101:B154" si="34">IF(D101=F100,"","IU")</f>
        <v/>
      </c>
      <c r="C101" s="50">
        <f>IF(D93="","-",+C100+1)</f>
        <v>2020</v>
      </c>
      <c r="D101" s="411">
        <v>235212</v>
      </c>
      <c r="E101" s="412">
        <v>5674</v>
      </c>
      <c r="F101" s="413">
        <v>229538</v>
      </c>
      <c r="G101" s="413">
        <v>232375</v>
      </c>
      <c r="H101" s="430">
        <v>32466.198637614907</v>
      </c>
      <c r="I101" s="431">
        <v>32466.198637614907</v>
      </c>
      <c r="J101" s="54">
        <f t="shared" si="25"/>
        <v>0</v>
      </c>
      <c r="K101" s="54"/>
      <c r="L101" s="350">
        <f t="shared" si="29"/>
        <v>32466.198637614907</v>
      </c>
      <c r="M101" s="63">
        <f t="shared" si="30"/>
        <v>0</v>
      </c>
      <c r="N101" s="350">
        <f t="shared" si="31"/>
        <v>32466.198637614907</v>
      </c>
      <c r="O101" s="54">
        <f t="shared" si="32"/>
        <v>0</v>
      </c>
      <c r="P101" s="54">
        <f t="shared" si="33"/>
        <v>0</v>
      </c>
    </row>
    <row r="102" spans="1:16">
      <c r="B102" s="7" t="str">
        <f t="shared" si="34"/>
        <v/>
      </c>
      <c r="C102" s="50">
        <f>IF(D93="","-",+C101+1)</f>
        <v>2021</v>
      </c>
      <c r="D102" s="411">
        <v>229538</v>
      </c>
      <c r="E102" s="412">
        <v>5951</v>
      </c>
      <c r="F102" s="413">
        <v>223587</v>
      </c>
      <c r="G102" s="413">
        <v>226562.5</v>
      </c>
      <c r="H102" s="430">
        <v>31732.179671191017</v>
      </c>
      <c r="I102" s="431">
        <v>31732.179671191017</v>
      </c>
      <c r="J102" s="54">
        <f t="shared" si="25"/>
        <v>0</v>
      </c>
      <c r="K102" s="54"/>
      <c r="L102" s="350">
        <f t="shared" si="29"/>
        <v>31732.179671191017</v>
      </c>
      <c r="M102" s="63">
        <f t="shared" si="30"/>
        <v>0</v>
      </c>
      <c r="N102" s="350">
        <f t="shared" si="31"/>
        <v>31732.179671191017</v>
      </c>
      <c r="O102" s="54">
        <f t="shared" si="32"/>
        <v>0</v>
      </c>
      <c r="P102" s="54">
        <f t="shared" si="33"/>
        <v>0</v>
      </c>
    </row>
    <row r="103" spans="1:16">
      <c r="B103" s="7" t="str">
        <f t="shared" si="34"/>
        <v/>
      </c>
      <c r="C103" s="50">
        <f>IF(D93="","-",+C102+1)</f>
        <v>2022</v>
      </c>
      <c r="D103" s="411">
        <v>223587</v>
      </c>
      <c r="E103" s="412">
        <v>6256</v>
      </c>
      <c r="F103" s="413">
        <v>217331</v>
      </c>
      <c r="G103" s="413">
        <v>220459</v>
      </c>
      <c r="H103" s="430">
        <v>30546.757470312874</v>
      </c>
      <c r="I103" s="431">
        <v>30546.757470312874</v>
      </c>
      <c r="J103" s="54">
        <f t="shared" si="25"/>
        <v>0</v>
      </c>
      <c r="K103" s="54"/>
      <c r="L103" s="350">
        <f t="shared" si="29"/>
        <v>30546.757470312874</v>
      </c>
      <c r="M103" s="63">
        <f t="shared" si="30"/>
        <v>0</v>
      </c>
      <c r="N103" s="350">
        <f t="shared" si="31"/>
        <v>30546.757470312874</v>
      </c>
      <c r="O103" s="54">
        <f t="shared" ref="O103" si="35">IF(N103&lt;&gt;0,+I103-N103,0)</f>
        <v>0</v>
      </c>
      <c r="P103" s="54">
        <f t="shared" ref="P103" si="36">+O103-M103</f>
        <v>0</v>
      </c>
    </row>
    <row r="104" spans="1:16">
      <c r="B104" s="7" t="str">
        <f t="shared" si="34"/>
        <v/>
      </c>
      <c r="C104" s="50">
        <f>IF(D93="","-",+C103+1)</f>
        <v>2023</v>
      </c>
      <c r="D104" s="411">
        <v>217331</v>
      </c>
      <c r="E104" s="412">
        <v>6421</v>
      </c>
      <c r="F104" s="413">
        <v>210910</v>
      </c>
      <c r="G104" s="413">
        <v>214120.5</v>
      </c>
      <c r="H104" s="430">
        <v>30879.353713761124</v>
      </c>
      <c r="I104" s="431">
        <v>30879.353713761124</v>
      </c>
      <c r="J104" s="54">
        <f t="shared" si="25"/>
        <v>0</v>
      </c>
      <c r="K104" s="54"/>
      <c r="L104" s="350">
        <f t="shared" si="29"/>
        <v>30879.353713761124</v>
      </c>
      <c r="M104" s="63">
        <f t="shared" si="30"/>
        <v>0</v>
      </c>
      <c r="N104" s="350">
        <f t="shared" si="31"/>
        <v>30879.353713761124</v>
      </c>
      <c r="O104" s="54">
        <f t="shared" ref="O104" si="37">IF(N104&lt;&gt;0,+I104-N104,0)</f>
        <v>0</v>
      </c>
      <c r="P104" s="54">
        <f t="shared" ref="P104" si="38">+O104-M104</f>
        <v>0</v>
      </c>
    </row>
    <row r="105" spans="1:16">
      <c r="B105" s="7" t="str">
        <f t="shared" si="34"/>
        <v/>
      </c>
      <c r="C105" s="50">
        <f>IF(D93="","-",+C104+1)</f>
        <v>2024</v>
      </c>
      <c r="D105" s="411">
        <v>210910</v>
      </c>
      <c r="E105" s="412">
        <v>6595</v>
      </c>
      <c r="F105" s="413">
        <v>204315</v>
      </c>
      <c r="G105" s="413">
        <v>207612.5</v>
      </c>
      <c r="H105" s="430">
        <v>34481.243129501738</v>
      </c>
      <c r="I105" s="431">
        <v>34481.243129501738</v>
      </c>
      <c r="J105" s="54">
        <f t="shared" si="25"/>
        <v>0</v>
      </c>
      <c r="K105" s="54"/>
      <c r="L105" s="350">
        <f t="shared" si="29"/>
        <v>34481.243129501738</v>
      </c>
      <c r="M105" s="63">
        <f t="shared" si="30"/>
        <v>0</v>
      </c>
      <c r="N105" s="350">
        <f t="shared" si="31"/>
        <v>34481.243129501738</v>
      </c>
      <c r="O105" s="54">
        <f t="shared" ref="O105" si="39">IF(N105&lt;&gt;0,+I105-N105,0)</f>
        <v>0</v>
      </c>
      <c r="P105" s="54">
        <f t="shared" ref="P105" si="40">+O105-M105</f>
        <v>0</v>
      </c>
    </row>
    <row r="106" spans="1:16">
      <c r="B106" s="7" t="str">
        <f t="shared" si="34"/>
        <v/>
      </c>
      <c r="C106" s="50">
        <f>IF(D93="","-",+C105+1)</f>
        <v>2025</v>
      </c>
      <c r="D106" s="12">
        <f>IF(F105+SUM(E$99:E105)=D$92,F105,D$92-SUM(E$99:E105))</f>
        <v>204315</v>
      </c>
      <c r="E106" s="354">
        <f t="shared" ref="E106:E154" si="41">IF(+J$96&lt;F105,J$96,D106)</f>
        <v>6595</v>
      </c>
      <c r="F106" s="55">
        <f t="shared" ref="F106:F154" si="42">+D106-E106</f>
        <v>197720</v>
      </c>
      <c r="G106" s="55">
        <f t="shared" ref="G106:G154" si="43">+(F106+D106)/2</f>
        <v>201017.5</v>
      </c>
      <c r="H106" s="355">
        <f t="shared" ref="H106:H153" si="44">(D106+F106)/2*J$94+E106</f>
        <v>30640.931789507908</v>
      </c>
      <c r="I106" s="381">
        <f t="shared" ref="I106:I153" si="45">+J$95*G106+E106</f>
        <v>30640.931789507908</v>
      </c>
      <c r="J106" s="54">
        <f t="shared" si="25"/>
        <v>0</v>
      </c>
      <c r="K106" s="54"/>
      <c r="L106" s="115"/>
      <c r="M106" s="54">
        <f t="shared" ref="M106:M130" si="46">IF(L106&lt;&gt;0,+H106-L106,0)</f>
        <v>0</v>
      </c>
      <c r="N106" s="115"/>
      <c r="O106" s="54">
        <f t="shared" si="32"/>
        <v>0</v>
      </c>
      <c r="P106" s="54">
        <f t="shared" si="33"/>
        <v>0</v>
      </c>
    </row>
    <row r="107" spans="1:16">
      <c r="B107" s="7" t="str">
        <f t="shared" si="34"/>
        <v/>
      </c>
      <c r="C107" s="50">
        <f>IF(D93="","-",+C106+1)</f>
        <v>2026</v>
      </c>
      <c r="D107" s="12">
        <f>IF(F106+SUM(E$99:E106)=D$92,F106,D$92-SUM(E$99:E106))</f>
        <v>197720</v>
      </c>
      <c r="E107" s="354">
        <f t="shared" si="41"/>
        <v>6595</v>
      </c>
      <c r="F107" s="55">
        <f t="shared" si="42"/>
        <v>191125</v>
      </c>
      <c r="G107" s="55">
        <f t="shared" si="43"/>
        <v>194422.5</v>
      </c>
      <c r="H107" s="355">
        <f t="shared" si="44"/>
        <v>29852.030722925123</v>
      </c>
      <c r="I107" s="381">
        <f t="shared" si="45"/>
        <v>29852.030722925123</v>
      </c>
      <c r="J107" s="54">
        <f t="shared" si="25"/>
        <v>0</v>
      </c>
      <c r="K107" s="54"/>
      <c r="L107" s="115"/>
      <c r="M107" s="54">
        <f t="shared" si="46"/>
        <v>0</v>
      </c>
      <c r="N107" s="115"/>
      <c r="O107" s="54">
        <f t="shared" si="32"/>
        <v>0</v>
      </c>
      <c r="P107" s="54">
        <f t="shared" si="33"/>
        <v>0</v>
      </c>
    </row>
    <row r="108" spans="1:16">
      <c r="B108" s="7" t="str">
        <f t="shared" si="34"/>
        <v/>
      </c>
      <c r="C108" s="50">
        <f>IF(D93="","-",+C107+1)</f>
        <v>2027</v>
      </c>
      <c r="D108" s="12">
        <f>IF(F107+SUM(E$99:E107)=D$92,F107,D$92-SUM(E$99:E107))</f>
        <v>191125</v>
      </c>
      <c r="E108" s="354">
        <f t="shared" si="41"/>
        <v>6595</v>
      </c>
      <c r="F108" s="55">
        <f t="shared" si="42"/>
        <v>184530</v>
      </c>
      <c r="G108" s="55">
        <f t="shared" si="43"/>
        <v>187827.5</v>
      </c>
      <c r="H108" s="355">
        <f t="shared" si="44"/>
        <v>29063.129656342342</v>
      </c>
      <c r="I108" s="381">
        <f t="shared" si="45"/>
        <v>29063.129656342342</v>
      </c>
      <c r="J108" s="54">
        <f t="shared" si="25"/>
        <v>0</v>
      </c>
      <c r="K108" s="54"/>
      <c r="L108" s="115"/>
      <c r="M108" s="54">
        <f t="shared" si="46"/>
        <v>0</v>
      </c>
      <c r="N108" s="115"/>
      <c r="O108" s="54">
        <f t="shared" si="32"/>
        <v>0</v>
      </c>
      <c r="P108" s="54">
        <f t="shared" si="33"/>
        <v>0</v>
      </c>
    </row>
    <row r="109" spans="1:16">
      <c r="B109" s="7" t="str">
        <f t="shared" si="34"/>
        <v/>
      </c>
      <c r="C109" s="50">
        <f>IF(D93="","-",+C108+1)</f>
        <v>2028</v>
      </c>
      <c r="D109" s="12">
        <f>IF(F108+SUM(E$99:E108)=D$92,F108,D$92-SUM(E$99:E108))</f>
        <v>184530</v>
      </c>
      <c r="E109" s="354">
        <f t="shared" si="41"/>
        <v>6595</v>
      </c>
      <c r="F109" s="55">
        <f t="shared" si="42"/>
        <v>177935</v>
      </c>
      <c r="G109" s="55">
        <f t="shared" si="43"/>
        <v>181232.5</v>
      </c>
      <c r="H109" s="355">
        <f t="shared" si="44"/>
        <v>28274.228589759558</v>
      </c>
      <c r="I109" s="381">
        <f t="shared" si="45"/>
        <v>28274.228589759558</v>
      </c>
      <c r="J109" s="54">
        <f t="shared" si="25"/>
        <v>0</v>
      </c>
      <c r="K109" s="54"/>
      <c r="L109" s="115"/>
      <c r="M109" s="54">
        <f t="shared" si="46"/>
        <v>0</v>
      </c>
      <c r="N109" s="115"/>
      <c r="O109" s="54">
        <f t="shared" si="32"/>
        <v>0</v>
      </c>
      <c r="P109" s="54">
        <f t="shared" si="33"/>
        <v>0</v>
      </c>
    </row>
    <row r="110" spans="1:16">
      <c r="B110" s="7" t="str">
        <f t="shared" si="34"/>
        <v/>
      </c>
      <c r="C110" s="50">
        <f>IF(D93="","-",+C109+1)</f>
        <v>2029</v>
      </c>
      <c r="D110" s="12">
        <f>IF(F109+SUM(E$99:E109)=D$92,F109,D$92-SUM(E$99:E109))</f>
        <v>177935</v>
      </c>
      <c r="E110" s="354">
        <f t="shared" si="41"/>
        <v>6595</v>
      </c>
      <c r="F110" s="55">
        <f t="shared" si="42"/>
        <v>171340</v>
      </c>
      <c r="G110" s="55">
        <f t="shared" si="43"/>
        <v>174637.5</v>
      </c>
      <c r="H110" s="355">
        <f t="shared" si="44"/>
        <v>27485.327523176773</v>
      </c>
      <c r="I110" s="381">
        <f t="shared" si="45"/>
        <v>27485.327523176773</v>
      </c>
      <c r="J110" s="54">
        <f t="shared" si="25"/>
        <v>0</v>
      </c>
      <c r="K110" s="54"/>
      <c r="L110" s="115"/>
      <c r="M110" s="54">
        <f t="shared" si="46"/>
        <v>0</v>
      </c>
      <c r="N110" s="115"/>
      <c r="O110" s="54">
        <f t="shared" si="32"/>
        <v>0</v>
      </c>
      <c r="P110" s="54">
        <f t="shared" si="33"/>
        <v>0</v>
      </c>
    </row>
    <row r="111" spans="1:16">
      <c r="B111" s="7" t="str">
        <f t="shared" si="34"/>
        <v/>
      </c>
      <c r="C111" s="50">
        <f>IF(D93="","-",+C110+1)</f>
        <v>2030</v>
      </c>
      <c r="D111" s="12">
        <f>IF(F110+SUM(E$99:E110)=D$92,F110,D$92-SUM(E$99:E110))</f>
        <v>171340</v>
      </c>
      <c r="E111" s="354">
        <f t="shared" si="41"/>
        <v>6595</v>
      </c>
      <c r="F111" s="55">
        <f t="shared" si="42"/>
        <v>164745</v>
      </c>
      <c r="G111" s="55">
        <f t="shared" si="43"/>
        <v>168042.5</v>
      </c>
      <c r="H111" s="355">
        <f t="shared" si="44"/>
        <v>26696.426456593992</v>
      </c>
      <c r="I111" s="381">
        <f t="shared" si="45"/>
        <v>26696.426456593992</v>
      </c>
      <c r="J111" s="54">
        <f t="shared" si="25"/>
        <v>0</v>
      </c>
      <c r="K111" s="54"/>
      <c r="L111" s="115"/>
      <c r="M111" s="54">
        <f t="shared" si="46"/>
        <v>0</v>
      </c>
      <c r="N111" s="115"/>
      <c r="O111" s="54">
        <f t="shared" si="32"/>
        <v>0</v>
      </c>
      <c r="P111" s="54">
        <f t="shared" si="33"/>
        <v>0</v>
      </c>
    </row>
    <row r="112" spans="1:16">
      <c r="B112" s="7" t="str">
        <f t="shared" si="34"/>
        <v/>
      </c>
      <c r="C112" s="50">
        <f>IF(D93="","-",+C111+1)</f>
        <v>2031</v>
      </c>
      <c r="D112" s="12">
        <f>IF(F111+SUM(E$99:E111)=D$92,F111,D$92-SUM(E$99:E111))</f>
        <v>164745</v>
      </c>
      <c r="E112" s="354">
        <f t="shared" si="41"/>
        <v>6595</v>
      </c>
      <c r="F112" s="55">
        <f t="shared" si="42"/>
        <v>158150</v>
      </c>
      <c r="G112" s="55">
        <f t="shared" si="43"/>
        <v>161447.5</v>
      </c>
      <c r="H112" s="355">
        <f t="shared" si="44"/>
        <v>25907.525390011207</v>
      </c>
      <c r="I112" s="381">
        <f t="shared" si="45"/>
        <v>25907.525390011207</v>
      </c>
      <c r="J112" s="54">
        <f t="shared" si="25"/>
        <v>0</v>
      </c>
      <c r="K112" s="54"/>
      <c r="L112" s="115"/>
      <c r="M112" s="54">
        <f t="shared" si="46"/>
        <v>0</v>
      </c>
      <c r="N112" s="115"/>
      <c r="O112" s="54">
        <f t="shared" si="32"/>
        <v>0</v>
      </c>
      <c r="P112" s="54">
        <f t="shared" si="33"/>
        <v>0</v>
      </c>
    </row>
    <row r="113" spans="2:16">
      <c r="B113" s="7" t="str">
        <f t="shared" si="34"/>
        <v/>
      </c>
      <c r="C113" s="50">
        <f>IF(D93="","-",+C112+1)</f>
        <v>2032</v>
      </c>
      <c r="D113" s="12">
        <f>IF(F112+SUM(E$99:E112)=D$92,F112,D$92-SUM(E$99:E112))</f>
        <v>158150</v>
      </c>
      <c r="E113" s="354">
        <f t="shared" si="41"/>
        <v>6595</v>
      </c>
      <c r="F113" s="55">
        <f t="shared" si="42"/>
        <v>151555</v>
      </c>
      <c r="G113" s="55">
        <f t="shared" si="43"/>
        <v>154852.5</v>
      </c>
      <c r="H113" s="355">
        <f t="shared" si="44"/>
        <v>25118.624323428423</v>
      </c>
      <c r="I113" s="381">
        <f t="shared" si="45"/>
        <v>25118.624323428423</v>
      </c>
      <c r="J113" s="54">
        <f t="shared" si="25"/>
        <v>0</v>
      </c>
      <c r="K113" s="54"/>
      <c r="L113" s="115"/>
      <c r="M113" s="54">
        <f t="shared" si="46"/>
        <v>0</v>
      </c>
      <c r="N113" s="115"/>
      <c r="O113" s="54">
        <f t="shared" si="32"/>
        <v>0</v>
      </c>
      <c r="P113" s="54">
        <f t="shared" si="33"/>
        <v>0</v>
      </c>
    </row>
    <row r="114" spans="2:16">
      <c r="B114" s="7" t="str">
        <f t="shared" si="34"/>
        <v/>
      </c>
      <c r="C114" s="50">
        <f>IF(D93="","-",+C113+1)</f>
        <v>2033</v>
      </c>
      <c r="D114" s="12">
        <f>IF(F113+SUM(E$99:E113)=D$92,F113,D$92-SUM(E$99:E113))</f>
        <v>151555</v>
      </c>
      <c r="E114" s="354">
        <f t="shared" si="41"/>
        <v>6595</v>
      </c>
      <c r="F114" s="55">
        <f t="shared" si="42"/>
        <v>144960</v>
      </c>
      <c r="G114" s="55">
        <f t="shared" si="43"/>
        <v>148257.5</v>
      </c>
      <c r="H114" s="355">
        <f t="shared" si="44"/>
        <v>24329.723256845642</v>
      </c>
      <c r="I114" s="381">
        <f t="shared" si="45"/>
        <v>24329.723256845642</v>
      </c>
      <c r="J114" s="54">
        <f t="shared" si="25"/>
        <v>0</v>
      </c>
      <c r="K114" s="54"/>
      <c r="L114" s="115"/>
      <c r="M114" s="54">
        <f t="shared" si="46"/>
        <v>0</v>
      </c>
      <c r="N114" s="115"/>
      <c r="O114" s="54">
        <f t="shared" si="32"/>
        <v>0</v>
      </c>
      <c r="P114" s="54">
        <f t="shared" si="33"/>
        <v>0</v>
      </c>
    </row>
    <row r="115" spans="2:16">
      <c r="B115" s="7" t="str">
        <f t="shared" si="34"/>
        <v/>
      </c>
      <c r="C115" s="50">
        <f>IF(D93="","-",+C114+1)</f>
        <v>2034</v>
      </c>
      <c r="D115" s="12">
        <f>IF(F114+SUM(E$99:E114)=D$92,F114,D$92-SUM(E$99:E114))</f>
        <v>144960</v>
      </c>
      <c r="E115" s="354">
        <f t="shared" si="41"/>
        <v>6595</v>
      </c>
      <c r="F115" s="55">
        <f t="shared" si="42"/>
        <v>138365</v>
      </c>
      <c r="G115" s="55">
        <f t="shared" si="43"/>
        <v>141662.5</v>
      </c>
      <c r="H115" s="355">
        <f t="shared" si="44"/>
        <v>23540.822190262857</v>
      </c>
      <c r="I115" s="381">
        <f t="shared" si="45"/>
        <v>23540.822190262857</v>
      </c>
      <c r="J115" s="54">
        <f t="shared" si="25"/>
        <v>0</v>
      </c>
      <c r="K115" s="54"/>
      <c r="L115" s="115"/>
      <c r="M115" s="54">
        <f t="shared" si="46"/>
        <v>0</v>
      </c>
      <c r="N115" s="115"/>
      <c r="O115" s="54">
        <f t="shared" si="32"/>
        <v>0</v>
      </c>
      <c r="P115" s="54">
        <f t="shared" si="33"/>
        <v>0</v>
      </c>
    </row>
    <row r="116" spans="2:16">
      <c r="B116" s="7" t="str">
        <f t="shared" si="34"/>
        <v/>
      </c>
      <c r="C116" s="50">
        <f>IF(D93="","-",+C115+1)</f>
        <v>2035</v>
      </c>
      <c r="D116" s="12">
        <f>IF(F115+SUM(E$99:E115)=D$92,F115,D$92-SUM(E$99:E115))</f>
        <v>138365</v>
      </c>
      <c r="E116" s="354">
        <f t="shared" si="41"/>
        <v>6595</v>
      </c>
      <c r="F116" s="55">
        <f t="shared" si="42"/>
        <v>131770</v>
      </c>
      <c r="G116" s="55">
        <f t="shared" si="43"/>
        <v>135067.5</v>
      </c>
      <c r="H116" s="355">
        <f t="shared" si="44"/>
        <v>22751.921123680073</v>
      </c>
      <c r="I116" s="381">
        <f t="shared" si="45"/>
        <v>22751.921123680073</v>
      </c>
      <c r="J116" s="54">
        <f t="shared" si="25"/>
        <v>0</v>
      </c>
      <c r="K116" s="54"/>
      <c r="L116" s="115"/>
      <c r="M116" s="54">
        <f t="shared" si="46"/>
        <v>0</v>
      </c>
      <c r="N116" s="115"/>
      <c r="O116" s="54">
        <f t="shared" si="32"/>
        <v>0</v>
      </c>
      <c r="P116" s="54">
        <f t="shared" si="33"/>
        <v>0</v>
      </c>
    </row>
    <row r="117" spans="2:16">
      <c r="B117" s="7" t="str">
        <f t="shared" si="34"/>
        <v/>
      </c>
      <c r="C117" s="50">
        <f>IF(D93="","-",+C116+1)</f>
        <v>2036</v>
      </c>
      <c r="D117" s="12">
        <f>IF(F116+SUM(E$99:E116)=D$92,F116,D$92-SUM(E$99:E116))</f>
        <v>131770</v>
      </c>
      <c r="E117" s="354">
        <f t="shared" si="41"/>
        <v>6595</v>
      </c>
      <c r="F117" s="55">
        <f t="shared" si="42"/>
        <v>125175</v>
      </c>
      <c r="G117" s="55">
        <f t="shared" si="43"/>
        <v>128472.5</v>
      </c>
      <c r="H117" s="355">
        <f t="shared" si="44"/>
        <v>21963.020057097288</v>
      </c>
      <c r="I117" s="381">
        <f t="shared" si="45"/>
        <v>21963.020057097288</v>
      </c>
      <c r="J117" s="54">
        <f t="shared" si="25"/>
        <v>0</v>
      </c>
      <c r="K117" s="54"/>
      <c r="L117" s="115"/>
      <c r="M117" s="54">
        <f t="shared" si="46"/>
        <v>0</v>
      </c>
      <c r="N117" s="115"/>
      <c r="O117" s="54">
        <f t="shared" si="32"/>
        <v>0</v>
      </c>
      <c r="P117" s="54">
        <f t="shared" si="33"/>
        <v>0</v>
      </c>
    </row>
    <row r="118" spans="2:16">
      <c r="B118" s="7" t="str">
        <f t="shared" si="34"/>
        <v/>
      </c>
      <c r="C118" s="50">
        <f>IF(D93="","-",+C117+1)</f>
        <v>2037</v>
      </c>
      <c r="D118" s="12">
        <f>IF(F117+SUM(E$99:E117)=D$92,F117,D$92-SUM(E$99:E117))</f>
        <v>125175</v>
      </c>
      <c r="E118" s="354">
        <f t="shared" si="41"/>
        <v>6595</v>
      </c>
      <c r="F118" s="55">
        <f t="shared" si="42"/>
        <v>118580</v>
      </c>
      <c r="G118" s="55">
        <f t="shared" si="43"/>
        <v>121877.5</v>
      </c>
      <c r="H118" s="355">
        <f t="shared" si="44"/>
        <v>21174.118990514507</v>
      </c>
      <c r="I118" s="381">
        <f t="shared" si="45"/>
        <v>21174.118990514507</v>
      </c>
      <c r="J118" s="54">
        <f t="shared" si="25"/>
        <v>0</v>
      </c>
      <c r="K118" s="54"/>
      <c r="L118" s="115"/>
      <c r="M118" s="54">
        <f t="shared" si="46"/>
        <v>0</v>
      </c>
      <c r="N118" s="115"/>
      <c r="O118" s="54">
        <f t="shared" si="32"/>
        <v>0</v>
      </c>
      <c r="P118" s="54">
        <f t="shared" si="33"/>
        <v>0</v>
      </c>
    </row>
    <row r="119" spans="2:16">
      <c r="B119" s="7" t="str">
        <f t="shared" si="34"/>
        <v/>
      </c>
      <c r="C119" s="50">
        <f>IF(D93="","-",+C118+1)</f>
        <v>2038</v>
      </c>
      <c r="D119" s="12">
        <f>IF(F118+SUM(E$99:E118)=D$92,F118,D$92-SUM(E$99:E118))</f>
        <v>118580</v>
      </c>
      <c r="E119" s="354">
        <f t="shared" si="41"/>
        <v>6595</v>
      </c>
      <c r="F119" s="55">
        <f t="shared" si="42"/>
        <v>111985</v>
      </c>
      <c r="G119" s="55">
        <f t="shared" si="43"/>
        <v>115282.5</v>
      </c>
      <c r="H119" s="355">
        <f t="shared" si="44"/>
        <v>20385.217923931723</v>
      </c>
      <c r="I119" s="381">
        <f t="shared" si="45"/>
        <v>20385.217923931723</v>
      </c>
      <c r="J119" s="54">
        <f t="shared" si="25"/>
        <v>0</v>
      </c>
      <c r="K119" s="54"/>
      <c r="L119" s="115"/>
      <c r="M119" s="54">
        <f t="shared" si="46"/>
        <v>0</v>
      </c>
      <c r="N119" s="115"/>
      <c r="O119" s="54">
        <f t="shared" si="32"/>
        <v>0</v>
      </c>
      <c r="P119" s="54">
        <f t="shared" si="33"/>
        <v>0</v>
      </c>
    </row>
    <row r="120" spans="2:16">
      <c r="B120" s="7" t="str">
        <f t="shared" si="34"/>
        <v/>
      </c>
      <c r="C120" s="50">
        <f>IF(D93="","-",+C119+1)</f>
        <v>2039</v>
      </c>
      <c r="D120" s="12">
        <f>IF(F119+SUM(E$99:E119)=D$92,F119,D$92-SUM(E$99:E119))</f>
        <v>111985</v>
      </c>
      <c r="E120" s="354">
        <f t="shared" si="41"/>
        <v>6595</v>
      </c>
      <c r="F120" s="55">
        <f t="shared" si="42"/>
        <v>105390</v>
      </c>
      <c r="G120" s="55">
        <f t="shared" si="43"/>
        <v>108687.5</v>
      </c>
      <c r="H120" s="355">
        <f t="shared" si="44"/>
        <v>19596.316857348938</v>
      </c>
      <c r="I120" s="381">
        <f t="shared" si="45"/>
        <v>19596.316857348938</v>
      </c>
      <c r="J120" s="54">
        <f t="shared" si="25"/>
        <v>0</v>
      </c>
      <c r="K120" s="54"/>
      <c r="L120" s="115"/>
      <c r="M120" s="54">
        <f t="shared" si="46"/>
        <v>0</v>
      </c>
      <c r="N120" s="115"/>
      <c r="O120" s="54">
        <f t="shared" si="32"/>
        <v>0</v>
      </c>
      <c r="P120" s="54">
        <f t="shared" si="33"/>
        <v>0</v>
      </c>
    </row>
    <row r="121" spans="2:16">
      <c r="B121" s="7" t="str">
        <f t="shared" si="34"/>
        <v/>
      </c>
      <c r="C121" s="50">
        <f>IF(D93="","-",+C120+1)</f>
        <v>2040</v>
      </c>
      <c r="D121" s="12">
        <f>IF(F120+SUM(E$99:E120)=D$92,F120,D$92-SUM(E$99:E120))</f>
        <v>105390</v>
      </c>
      <c r="E121" s="354">
        <f t="shared" si="41"/>
        <v>6595</v>
      </c>
      <c r="F121" s="55">
        <f t="shared" si="42"/>
        <v>98795</v>
      </c>
      <c r="G121" s="55">
        <f t="shared" si="43"/>
        <v>102092.5</v>
      </c>
      <c r="H121" s="355">
        <f t="shared" si="44"/>
        <v>18807.415790766157</v>
      </c>
      <c r="I121" s="381">
        <f t="shared" si="45"/>
        <v>18807.415790766157</v>
      </c>
      <c r="J121" s="54">
        <f t="shared" si="25"/>
        <v>0</v>
      </c>
      <c r="K121" s="54"/>
      <c r="L121" s="115"/>
      <c r="M121" s="54">
        <f t="shared" si="46"/>
        <v>0</v>
      </c>
      <c r="N121" s="115"/>
      <c r="O121" s="54">
        <f t="shared" si="32"/>
        <v>0</v>
      </c>
      <c r="P121" s="54">
        <f t="shared" si="33"/>
        <v>0</v>
      </c>
    </row>
    <row r="122" spans="2:16">
      <c r="B122" s="7" t="str">
        <f t="shared" si="34"/>
        <v/>
      </c>
      <c r="C122" s="50">
        <f>IF(D93="","-",+C121+1)</f>
        <v>2041</v>
      </c>
      <c r="D122" s="12">
        <f>IF(F121+SUM(E$99:E121)=D$92,F121,D$92-SUM(E$99:E121))</f>
        <v>98795</v>
      </c>
      <c r="E122" s="354">
        <f t="shared" si="41"/>
        <v>6595</v>
      </c>
      <c r="F122" s="55">
        <f t="shared" si="42"/>
        <v>92200</v>
      </c>
      <c r="G122" s="55">
        <f t="shared" si="43"/>
        <v>95497.5</v>
      </c>
      <c r="H122" s="355">
        <f t="shared" si="44"/>
        <v>18018.514724183373</v>
      </c>
      <c r="I122" s="381">
        <f t="shared" si="45"/>
        <v>18018.514724183373</v>
      </c>
      <c r="J122" s="54">
        <f t="shared" si="25"/>
        <v>0</v>
      </c>
      <c r="K122" s="54"/>
      <c r="L122" s="115"/>
      <c r="M122" s="54">
        <f t="shared" si="46"/>
        <v>0</v>
      </c>
      <c r="N122" s="115"/>
      <c r="O122" s="54">
        <f t="shared" si="32"/>
        <v>0</v>
      </c>
      <c r="P122" s="54">
        <f t="shared" si="33"/>
        <v>0</v>
      </c>
    </row>
    <row r="123" spans="2:16">
      <c r="B123" s="7" t="str">
        <f t="shared" si="34"/>
        <v/>
      </c>
      <c r="C123" s="50">
        <f>IF(D93="","-",+C122+1)</f>
        <v>2042</v>
      </c>
      <c r="D123" s="12">
        <f>IF(F122+SUM(E$99:E122)=D$92,F122,D$92-SUM(E$99:E122))</f>
        <v>92200</v>
      </c>
      <c r="E123" s="354">
        <f t="shared" si="41"/>
        <v>6595</v>
      </c>
      <c r="F123" s="55">
        <f t="shared" si="42"/>
        <v>85605</v>
      </c>
      <c r="G123" s="55">
        <f t="shared" si="43"/>
        <v>88902.5</v>
      </c>
      <c r="H123" s="355">
        <f t="shared" si="44"/>
        <v>17229.613657600588</v>
      </c>
      <c r="I123" s="381">
        <f t="shared" si="45"/>
        <v>17229.613657600588</v>
      </c>
      <c r="J123" s="54">
        <f t="shared" si="25"/>
        <v>0</v>
      </c>
      <c r="K123" s="54"/>
      <c r="L123" s="115"/>
      <c r="M123" s="54">
        <f t="shared" si="46"/>
        <v>0</v>
      </c>
      <c r="N123" s="115"/>
      <c r="O123" s="54">
        <f t="shared" si="32"/>
        <v>0</v>
      </c>
      <c r="P123" s="54">
        <f t="shared" si="33"/>
        <v>0</v>
      </c>
    </row>
    <row r="124" spans="2:16">
      <c r="B124" s="7" t="str">
        <f t="shared" si="34"/>
        <v/>
      </c>
      <c r="C124" s="50">
        <f>IF(D93="","-",+C123+1)</f>
        <v>2043</v>
      </c>
      <c r="D124" s="12">
        <f>IF(F123+SUM(E$99:E123)=D$92,F123,D$92-SUM(E$99:E123))</f>
        <v>85605</v>
      </c>
      <c r="E124" s="354">
        <f t="shared" si="41"/>
        <v>6595</v>
      </c>
      <c r="F124" s="55">
        <f t="shared" si="42"/>
        <v>79010</v>
      </c>
      <c r="G124" s="55">
        <f t="shared" si="43"/>
        <v>82307.5</v>
      </c>
      <c r="H124" s="355">
        <f t="shared" si="44"/>
        <v>16440.712591017807</v>
      </c>
      <c r="I124" s="381">
        <f t="shared" si="45"/>
        <v>16440.712591017807</v>
      </c>
      <c r="J124" s="54">
        <f t="shared" si="25"/>
        <v>0</v>
      </c>
      <c r="K124" s="54"/>
      <c r="L124" s="115"/>
      <c r="M124" s="54">
        <f t="shared" si="46"/>
        <v>0</v>
      </c>
      <c r="N124" s="115"/>
      <c r="O124" s="54">
        <f t="shared" si="32"/>
        <v>0</v>
      </c>
      <c r="P124" s="54">
        <f t="shared" si="33"/>
        <v>0</v>
      </c>
    </row>
    <row r="125" spans="2:16">
      <c r="B125" s="7" t="str">
        <f t="shared" si="34"/>
        <v/>
      </c>
      <c r="C125" s="50">
        <f>IF(D93="","-",+C124+1)</f>
        <v>2044</v>
      </c>
      <c r="D125" s="12">
        <f>IF(F124+SUM(E$99:E124)=D$92,F124,D$92-SUM(E$99:E124))</f>
        <v>79010</v>
      </c>
      <c r="E125" s="354">
        <f t="shared" si="41"/>
        <v>6595</v>
      </c>
      <c r="F125" s="55">
        <f t="shared" si="42"/>
        <v>72415</v>
      </c>
      <c r="G125" s="55">
        <f t="shared" si="43"/>
        <v>75712.5</v>
      </c>
      <c r="H125" s="355">
        <f t="shared" si="44"/>
        <v>15651.811524435025</v>
      </c>
      <c r="I125" s="381">
        <f t="shared" si="45"/>
        <v>15651.811524435025</v>
      </c>
      <c r="J125" s="54">
        <f t="shared" si="25"/>
        <v>0</v>
      </c>
      <c r="K125" s="54"/>
      <c r="L125" s="115"/>
      <c r="M125" s="54">
        <f t="shared" si="46"/>
        <v>0</v>
      </c>
      <c r="N125" s="115"/>
      <c r="O125" s="54">
        <f t="shared" si="32"/>
        <v>0</v>
      </c>
      <c r="P125" s="54">
        <f t="shared" si="33"/>
        <v>0</v>
      </c>
    </row>
    <row r="126" spans="2:16">
      <c r="B126" s="7" t="str">
        <f t="shared" si="34"/>
        <v/>
      </c>
      <c r="C126" s="50">
        <f>IF(D93="","-",+C125+1)</f>
        <v>2045</v>
      </c>
      <c r="D126" s="12">
        <f>IF(F125+SUM(E$99:E125)=D$92,F125,D$92-SUM(E$99:E125))</f>
        <v>72415</v>
      </c>
      <c r="E126" s="354">
        <f t="shared" si="41"/>
        <v>6595</v>
      </c>
      <c r="F126" s="55">
        <f t="shared" si="42"/>
        <v>65820</v>
      </c>
      <c r="G126" s="55">
        <f t="shared" si="43"/>
        <v>69117.5</v>
      </c>
      <c r="H126" s="355">
        <f t="shared" si="44"/>
        <v>14862.91045785224</v>
      </c>
      <c r="I126" s="381">
        <f t="shared" si="45"/>
        <v>14862.91045785224</v>
      </c>
      <c r="J126" s="54">
        <f t="shared" si="25"/>
        <v>0</v>
      </c>
      <c r="K126" s="54"/>
      <c r="L126" s="115"/>
      <c r="M126" s="54">
        <f t="shared" si="46"/>
        <v>0</v>
      </c>
      <c r="N126" s="115"/>
      <c r="O126" s="54">
        <f t="shared" si="32"/>
        <v>0</v>
      </c>
      <c r="P126" s="54">
        <f t="shared" si="33"/>
        <v>0</v>
      </c>
    </row>
    <row r="127" spans="2:16">
      <c r="B127" s="7" t="str">
        <f t="shared" si="34"/>
        <v/>
      </c>
      <c r="C127" s="50">
        <f>IF(D93="","-",+C126+1)</f>
        <v>2046</v>
      </c>
      <c r="D127" s="12">
        <f>IF(F126+SUM(E$99:E126)=D$92,F126,D$92-SUM(E$99:E126))</f>
        <v>65820</v>
      </c>
      <c r="E127" s="354">
        <f t="shared" si="41"/>
        <v>6595</v>
      </c>
      <c r="F127" s="55">
        <f t="shared" si="42"/>
        <v>59225</v>
      </c>
      <c r="G127" s="55">
        <f t="shared" si="43"/>
        <v>62522.5</v>
      </c>
      <c r="H127" s="355">
        <f t="shared" si="44"/>
        <v>14074.009391269457</v>
      </c>
      <c r="I127" s="381">
        <f t="shared" si="45"/>
        <v>14074.009391269457</v>
      </c>
      <c r="J127" s="54">
        <f t="shared" si="25"/>
        <v>0</v>
      </c>
      <c r="K127" s="54"/>
      <c r="L127" s="115"/>
      <c r="M127" s="54">
        <f t="shared" si="46"/>
        <v>0</v>
      </c>
      <c r="N127" s="115"/>
      <c r="O127" s="54">
        <f t="shared" si="32"/>
        <v>0</v>
      </c>
      <c r="P127" s="54">
        <f t="shared" si="33"/>
        <v>0</v>
      </c>
    </row>
    <row r="128" spans="2:16">
      <c r="B128" s="7" t="str">
        <f t="shared" si="34"/>
        <v/>
      </c>
      <c r="C128" s="50">
        <f>IF(D93="","-",+C127+1)</f>
        <v>2047</v>
      </c>
      <c r="D128" s="12">
        <f>IF(F127+SUM(E$99:E127)=D$92,F127,D$92-SUM(E$99:E127))</f>
        <v>59225</v>
      </c>
      <c r="E128" s="354">
        <f t="shared" si="41"/>
        <v>6595</v>
      </c>
      <c r="F128" s="55">
        <f t="shared" si="42"/>
        <v>52630</v>
      </c>
      <c r="G128" s="55">
        <f t="shared" si="43"/>
        <v>55927.5</v>
      </c>
      <c r="H128" s="355">
        <f t="shared" si="44"/>
        <v>13285.108324686673</v>
      </c>
      <c r="I128" s="381">
        <f t="shared" si="45"/>
        <v>13285.108324686673</v>
      </c>
      <c r="J128" s="54">
        <f t="shared" si="25"/>
        <v>0</v>
      </c>
      <c r="K128" s="54"/>
      <c r="L128" s="115"/>
      <c r="M128" s="54">
        <f t="shared" si="46"/>
        <v>0</v>
      </c>
      <c r="N128" s="115"/>
      <c r="O128" s="54">
        <f t="shared" si="32"/>
        <v>0</v>
      </c>
      <c r="P128" s="54">
        <f t="shared" si="33"/>
        <v>0</v>
      </c>
    </row>
    <row r="129" spans="2:16">
      <c r="B129" s="7" t="str">
        <f t="shared" si="34"/>
        <v/>
      </c>
      <c r="C129" s="50">
        <f>IF(D93="","-",+C128+1)</f>
        <v>2048</v>
      </c>
      <c r="D129" s="12">
        <f>IF(F128+SUM(E$99:E128)=D$92,F128,D$92-SUM(E$99:E128))</f>
        <v>52630</v>
      </c>
      <c r="E129" s="354">
        <f t="shared" si="41"/>
        <v>6595</v>
      </c>
      <c r="F129" s="55">
        <f t="shared" si="42"/>
        <v>46035</v>
      </c>
      <c r="G129" s="55">
        <f t="shared" si="43"/>
        <v>49332.5</v>
      </c>
      <c r="H129" s="355">
        <f t="shared" si="44"/>
        <v>12496.20725810389</v>
      </c>
      <c r="I129" s="381">
        <f t="shared" si="45"/>
        <v>12496.20725810389</v>
      </c>
      <c r="J129" s="54">
        <f t="shared" si="25"/>
        <v>0</v>
      </c>
      <c r="K129" s="54"/>
      <c r="L129" s="115"/>
      <c r="M129" s="54">
        <f t="shared" si="46"/>
        <v>0</v>
      </c>
      <c r="N129" s="115"/>
      <c r="O129" s="54">
        <f t="shared" si="32"/>
        <v>0</v>
      </c>
      <c r="P129" s="54">
        <f t="shared" si="33"/>
        <v>0</v>
      </c>
    </row>
    <row r="130" spans="2:16">
      <c r="B130" s="7" t="str">
        <f t="shared" si="34"/>
        <v/>
      </c>
      <c r="C130" s="50">
        <f>IF(D93="","-",+C129+1)</f>
        <v>2049</v>
      </c>
      <c r="D130" s="12">
        <f>IF(F129+SUM(E$99:E129)=D$92,F129,D$92-SUM(E$99:E129))</f>
        <v>46035</v>
      </c>
      <c r="E130" s="354">
        <f t="shared" si="41"/>
        <v>6595</v>
      </c>
      <c r="F130" s="55">
        <f t="shared" si="42"/>
        <v>39440</v>
      </c>
      <c r="G130" s="55">
        <f t="shared" si="43"/>
        <v>42737.5</v>
      </c>
      <c r="H130" s="355">
        <f t="shared" si="44"/>
        <v>11707.306191521107</v>
      </c>
      <c r="I130" s="381">
        <f t="shared" si="45"/>
        <v>11707.306191521107</v>
      </c>
      <c r="J130" s="54">
        <f t="shared" si="25"/>
        <v>0</v>
      </c>
      <c r="K130" s="54"/>
      <c r="L130" s="115"/>
      <c r="M130" s="54">
        <f t="shared" si="46"/>
        <v>0</v>
      </c>
      <c r="N130" s="115"/>
      <c r="O130" s="54">
        <f t="shared" si="32"/>
        <v>0</v>
      </c>
      <c r="P130" s="54">
        <f t="shared" si="33"/>
        <v>0</v>
      </c>
    </row>
    <row r="131" spans="2:16">
      <c r="B131" s="7" t="str">
        <f t="shared" si="34"/>
        <v/>
      </c>
      <c r="C131" s="50">
        <f>IF(D93="","-",+C130+1)</f>
        <v>2050</v>
      </c>
      <c r="D131" s="12">
        <f>IF(F130+SUM(E$99:E130)=D$92,F130,D$92-SUM(E$99:E130))</f>
        <v>39440</v>
      </c>
      <c r="E131" s="354">
        <f t="shared" si="41"/>
        <v>6595</v>
      </c>
      <c r="F131" s="55">
        <f t="shared" si="42"/>
        <v>32845</v>
      </c>
      <c r="G131" s="55">
        <f t="shared" si="43"/>
        <v>36142.5</v>
      </c>
      <c r="H131" s="355">
        <f t="shared" si="44"/>
        <v>10918.405124938323</v>
      </c>
      <c r="I131" s="381">
        <f t="shared" si="45"/>
        <v>10918.405124938323</v>
      </c>
      <c r="J131" s="54">
        <f t="shared" ref="J131:J154" si="47">+I541-H541</f>
        <v>0</v>
      </c>
      <c r="K131" s="54"/>
      <c r="L131" s="115"/>
      <c r="M131" s="54">
        <f t="shared" ref="M131:M154" si="48">IF(L541&lt;&gt;0,+H541-L541,0)</f>
        <v>0</v>
      </c>
      <c r="N131" s="115"/>
      <c r="O131" s="54">
        <f t="shared" ref="O131:O154" si="49">IF(N541&lt;&gt;0,+I541-N541,0)</f>
        <v>0</v>
      </c>
      <c r="P131" s="54">
        <f t="shared" ref="P131:P154" si="50">+O541-M541</f>
        <v>0</v>
      </c>
    </row>
    <row r="132" spans="2:16">
      <c r="B132" s="7" t="str">
        <f t="shared" si="34"/>
        <v/>
      </c>
      <c r="C132" s="50">
        <f>IF(D93="","-",+C131+1)</f>
        <v>2051</v>
      </c>
      <c r="D132" s="12">
        <f>IF(F131+SUM(E$99:E131)=D$92,F131,D$92-SUM(E$99:E131))</f>
        <v>32845</v>
      </c>
      <c r="E132" s="354">
        <f t="shared" si="41"/>
        <v>6595</v>
      </c>
      <c r="F132" s="55">
        <f t="shared" si="42"/>
        <v>26250</v>
      </c>
      <c r="G132" s="55">
        <f t="shared" si="43"/>
        <v>29547.5</v>
      </c>
      <c r="H132" s="355">
        <f t="shared" si="44"/>
        <v>10129.50405835554</v>
      </c>
      <c r="I132" s="381">
        <f t="shared" si="45"/>
        <v>10129.50405835554</v>
      </c>
      <c r="J132" s="54">
        <f t="shared" si="47"/>
        <v>0</v>
      </c>
      <c r="K132" s="54"/>
      <c r="L132" s="115"/>
      <c r="M132" s="54">
        <f t="shared" si="48"/>
        <v>0</v>
      </c>
      <c r="N132" s="115"/>
      <c r="O132" s="54">
        <f t="shared" si="49"/>
        <v>0</v>
      </c>
      <c r="P132" s="54">
        <f t="shared" si="50"/>
        <v>0</v>
      </c>
    </row>
    <row r="133" spans="2:16">
      <c r="B133" s="7" t="str">
        <f t="shared" si="34"/>
        <v/>
      </c>
      <c r="C133" s="50">
        <f>IF(D93="","-",+C132+1)</f>
        <v>2052</v>
      </c>
      <c r="D133" s="12">
        <f>IF(F132+SUM(E$99:E132)=D$92,F132,D$92-SUM(E$99:E132))</f>
        <v>26250</v>
      </c>
      <c r="E133" s="354">
        <f t="shared" si="41"/>
        <v>6595</v>
      </c>
      <c r="F133" s="55">
        <f t="shared" si="42"/>
        <v>19655</v>
      </c>
      <c r="G133" s="55">
        <f t="shared" si="43"/>
        <v>22952.5</v>
      </c>
      <c r="H133" s="355">
        <f t="shared" si="44"/>
        <v>9340.6029917727574</v>
      </c>
      <c r="I133" s="381">
        <f t="shared" si="45"/>
        <v>9340.6029917727574</v>
      </c>
      <c r="J133" s="54">
        <f t="shared" si="47"/>
        <v>0</v>
      </c>
      <c r="K133" s="54"/>
      <c r="L133" s="115"/>
      <c r="M133" s="54">
        <f t="shared" si="48"/>
        <v>0</v>
      </c>
      <c r="N133" s="115"/>
      <c r="O133" s="54">
        <f t="shared" si="49"/>
        <v>0</v>
      </c>
      <c r="P133" s="54">
        <f t="shared" si="50"/>
        <v>0</v>
      </c>
    </row>
    <row r="134" spans="2:16">
      <c r="B134" s="7" t="str">
        <f t="shared" si="34"/>
        <v/>
      </c>
      <c r="C134" s="50">
        <f>IF(D93="","-",+C133+1)</f>
        <v>2053</v>
      </c>
      <c r="D134" s="12">
        <f>IF(F133+SUM(E$99:E133)=D$92,F133,D$92-SUM(E$99:E133))</f>
        <v>19655</v>
      </c>
      <c r="E134" s="354">
        <f t="shared" si="41"/>
        <v>6595</v>
      </c>
      <c r="F134" s="55">
        <f t="shared" si="42"/>
        <v>13060</v>
      </c>
      <c r="G134" s="55">
        <f t="shared" si="43"/>
        <v>16357.5</v>
      </c>
      <c r="H134" s="355">
        <f t="shared" si="44"/>
        <v>8551.7019251899746</v>
      </c>
      <c r="I134" s="381">
        <f t="shared" si="45"/>
        <v>8551.7019251899746</v>
      </c>
      <c r="J134" s="54">
        <f t="shared" si="47"/>
        <v>0</v>
      </c>
      <c r="K134" s="54"/>
      <c r="L134" s="115"/>
      <c r="M134" s="54">
        <f t="shared" si="48"/>
        <v>0</v>
      </c>
      <c r="N134" s="115"/>
      <c r="O134" s="54">
        <f t="shared" si="49"/>
        <v>0</v>
      </c>
      <c r="P134" s="54">
        <f t="shared" si="50"/>
        <v>0</v>
      </c>
    </row>
    <row r="135" spans="2:16">
      <c r="B135" s="7" t="str">
        <f t="shared" si="34"/>
        <v/>
      </c>
      <c r="C135" s="50">
        <f>IF(D93="","-",+C134+1)</f>
        <v>2054</v>
      </c>
      <c r="D135" s="12">
        <f>IF(F134+SUM(E$99:E134)=D$92,F134,D$92-SUM(E$99:E134))</f>
        <v>13060</v>
      </c>
      <c r="E135" s="354">
        <f t="shared" si="41"/>
        <v>6595</v>
      </c>
      <c r="F135" s="55">
        <f t="shared" si="42"/>
        <v>6465</v>
      </c>
      <c r="G135" s="55">
        <f t="shared" si="43"/>
        <v>9762.5</v>
      </c>
      <c r="H135" s="355">
        <f t="shared" si="44"/>
        <v>7762.8008586071901</v>
      </c>
      <c r="I135" s="381">
        <f t="shared" si="45"/>
        <v>7762.8008586071901</v>
      </c>
      <c r="J135" s="54">
        <f t="shared" si="47"/>
        <v>0</v>
      </c>
      <c r="K135" s="54"/>
      <c r="L135" s="115"/>
      <c r="M135" s="54">
        <f t="shared" si="48"/>
        <v>0</v>
      </c>
      <c r="N135" s="115"/>
      <c r="O135" s="54">
        <f t="shared" si="49"/>
        <v>0</v>
      </c>
      <c r="P135" s="54">
        <f t="shared" si="50"/>
        <v>0</v>
      </c>
    </row>
    <row r="136" spans="2:16">
      <c r="B136" s="7" t="str">
        <f t="shared" si="34"/>
        <v/>
      </c>
      <c r="C136" s="50">
        <f>IF(D93="","-",+C135+1)</f>
        <v>2055</v>
      </c>
      <c r="D136" s="12">
        <f>IF(F135+SUM(E$99:E135)=D$92,F135,D$92-SUM(E$99:E135))</f>
        <v>6465</v>
      </c>
      <c r="E136" s="354">
        <f t="shared" si="41"/>
        <v>6465</v>
      </c>
      <c r="F136" s="55">
        <f t="shared" si="42"/>
        <v>0</v>
      </c>
      <c r="G136" s="55">
        <f t="shared" si="43"/>
        <v>3232.5</v>
      </c>
      <c r="H136" s="355">
        <f t="shared" si="44"/>
        <v>6851.6751626578998</v>
      </c>
      <c r="I136" s="381">
        <f t="shared" si="45"/>
        <v>6851.6751626578998</v>
      </c>
      <c r="J136" s="54">
        <f t="shared" si="47"/>
        <v>0</v>
      </c>
      <c r="K136" s="54"/>
      <c r="L136" s="115"/>
      <c r="M136" s="54">
        <f t="shared" si="48"/>
        <v>0</v>
      </c>
      <c r="N136" s="115"/>
      <c r="O136" s="54">
        <f t="shared" si="49"/>
        <v>0</v>
      </c>
      <c r="P136" s="54">
        <f t="shared" si="50"/>
        <v>0</v>
      </c>
    </row>
    <row r="137" spans="2:16">
      <c r="B137" s="7" t="str">
        <f t="shared" si="34"/>
        <v/>
      </c>
      <c r="C137" s="50">
        <f>IF(D93="","-",+C136+1)</f>
        <v>2056</v>
      </c>
      <c r="D137" s="12">
        <f>IF(F136+SUM(E$99:E136)=D$92,F136,D$92-SUM(E$99:E136))</f>
        <v>0</v>
      </c>
      <c r="E137" s="354">
        <f t="shared" si="41"/>
        <v>0</v>
      </c>
      <c r="F137" s="55">
        <f t="shared" si="42"/>
        <v>0</v>
      </c>
      <c r="G137" s="55">
        <f t="shared" si="43"/>
        <v>0</v>
      </c>
      <c r="H137" s="355">
        <f t="shared" si="44"/>
        <v>0</v>
      </c>
      <c r="I137" s="381">
        <f t="shared" si="45"/>
        <v>0</v>
      </c>
      <c r="J137" s="54">
        <f t="shared" si="47"/>
        <v>0</v>
      </c>
      <c r="K137" s="54"/>
      <c r="L137" s="115"/>
      <c r="M137" s="54">
        <f t="shared" si="48"/>
        <v>0</v>
      </c>
      <c r="N137" s="115"/>
      <c r="O137" s="54">
        <f t="shared" si="49"/>
        <v>0</v>
      </c>
      <c r="P137" s="54">
        <f t="shared" si="50"/>
        <v>0</v>
      </c>
    </row>
    <row r="138" spans="2:16">
      <c r="B138" s="7" t="str">
        <f t="shared" si="34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41"/>
        <v>0</v>
      </c>
      <c r="F138" s="55">
        <f t="shared" si="42"/>
        <v>0</v>
      </c>
      <c r="G138" s="55">
        <f t="shared" si="43"/>
        <v>0</v>
      </c>
      <c r="H138" s="355">
        <f t="shared" si="44"/>
        <v>0</v>
      </c>
      <c r="I138" s="381">
        <f t="shared" si="45"/>
        <v>0</v>
      </c>
      <c r="J138" s="54">
        <f t="shared" si="47"/>
        <v>0</v>
      </c>
      <c r="K138" s="54"/>
      <c r="L138" s="115"/>
      <c r="M138" s="54">
        <f t="shared" si="48"/>
        <v>0</v>
      </c>
      <c r="N138" s="115"/>
      <c r="O138" s="54">
        <f t="shared" si="49"/>
        <v>0</v>
      </c>
      <c r="P138" s="54">
        <f t="shared" si="50"/>
        <v>0</v>
      </c>
    </row>
    <row r="139" spans="2:16">
      <c r="B139" s="7" t="str">
        <f t="shared" si="34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41"/>
        <v>0</v>
      </c>
      <c r="F139" s="55">
        <f t="shared" si="42"/>
        <v>0</v>
      </c>
      <c r="G139" s="55">
        <f t="shared" si="43"/>
        <v>0</v>
      </c>
      <c r="H139" s="355">
        <f t="shared" si="44"/>
        <v>0</v>
      </c>
      <c r="I139" s="381">
        <f t="shared" si="45"/>
        <v>0</v>
      </c>
      <c r="J139" s="54">
        <f t="shared" si="47"/>
        <v>0</v>
      </c>
      <c r="K139" s="54"/>
      <c r="L139" s="115"/>
      <c r="M139" s="54">
        <f t="shared" si="48"/>
        <v>0</v>
      </c>
      <c r="N139" s="115"/>
      <c r="O139" s="54">
        <f t="shared" si="49"/>
        <v>0</v>
      </c>
      <c r="P139" s="54">
        <f t="shared" si="50"/>
        <v>0</v>
      </c>
    </row>
    <row r="140" spans="2:16">
      <c r="B140" s="7" t="str">
        <f t="shared" si="34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41"/>
        <v>0</v>
      </c>
      <c r="F140" s="55">
        <f t="shared" si="42"/>
        <v>0</v>
      </c>
      <c r="G140" s="55">
        <f t="shared" si="43"/>
        <v>0</v>
      </c>
      <c r="H140" s="355">
        <f t="shared" si="44"/>
        <v>0</v>
      </c>
      <c r="I140" s="381">
        <f t="shared" si="45"/>
        <v>0</v>
      </c>
      <c r="J140" s="54">
        <f t="shared" si="47"/>
        <v>0</v>
      </c>
      <c r="K140" s="54"/>
      <c r="L140" s="115"/>
      <c r="M140" s="54">
        <f t="shared" si="48"/>
        <v>0</v>
      </c>
      <c r="N140" s="115"/>
      <c r="O140" s="54">
        <f t="shared" si="49"/>
        <v>0</v>
      </c>
      <c r="P140" s="54">
        <f t="shared" si="50"/>
        <v>0</v>
      </c>
    </row>
    <row r="141" spans="2:16">
      <c r="B141" s="7" t="str">
        <f t="shared" si="34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41"/>
        <v>0</v>
      </c>
      <c r="F141" s="55">
        <f t="shared" si="42"/>
        <v>0</v>
      </c>
      <c r="G141" s="55">
        <f t="shared" si="43"/>
        <v>0</v>
      </c>
      <c r="H141" s="355">
        <f t="shared" si="44"/>
        <v>0</v>
      </c>
      <c r="I141" s="381">
        <f t="shared" si="45"/>
        <v>0</v>
      </c>
      <c r="J141" s="54">
        <f t="shared" si="47"/>
        <v>0</v>
      </c>
      <c r="K141" s="54"/>
      <c r="L141" s="115"/>
      <c r="M141" s="54">
        <f t="shared" si="48"/>
        <v>0</v>
      </c>
      <c r="N141" s="115"/>
      <c r="O141" s="54">
        <f t="shared" si="49"/>
        <v>0</v>
      </c>
      <c r="P141" s="54">
        <f t="shared" si="50"/>
        <v>0</v>
      </c>
    </row>
    <row r="142" spans="2:16">
      <c r="B142" s="7" t="str">
        <f t="shared" si="34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41"/>
        <v>0</v>
      </c>
      <c r="F142" s="55">
        <f t="shared" si="42"/>
        <v>0</v>
      </c>
      <c r="G142" s="55">
        <f t="shared" si="43"/>
        <v>0</v>
      </c>
      <c r="H142" s="355">
        <f t="shared" si="44"/>
        <v>0</v>
      </c>
      <c r="I142" s="381">
        <f t="shared" si="45"/>
        <v>0</v>
      </c>
      <c r="J142" s="54">
        <f t="shared" si="47"/>
        <v>0</v>
      </c>
      <c r="K142" s="54"/>
      <c r="L142" s="115"/>
      <c r="M142" s="54">
        <f t="shared" si="48"/>
        <v>0</v>
      </c>
      <c r="N142" s="115"/>
      <c r="O142" s="54">
        <f t="shared" si="49"/>
        <v>0</v>
      </c>
      <c r="P142" s="54">
        <f t="shared" si="50"/>
        <v>0</v>
      </c>
    </row>
    <row r="143" spans="2:16">
      <c r="B143" s="7" t="str">
        <f t="shared" si="34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41"/>
        <v>0</v>
      </c>
      <c r="F143" s="55">
        <f t="shared" si="42"/>
        <v>0</v>
      </c>
      <c r="G143" s="55">
        <f t="shared" si="43"/>
        <v>0</v>
      </c>
      <c r="H143" s="355">
        <f t="shared" si="44"/>
        <v>0</v>
      </c>
      <c r="I143" s="381">
        <f t="shared" si="45"/>
        <v>0</v>
      </c>
      <c r="J143" s="54">
        <f t="shared" si="47"/>
        <v>0</v>
      </c>
      <c r="K143" s="54"/>
      <c r="L143" s="115"/>
      <c r="M143" s="54">
        <f t="shared" si="48"/>
        <v>0</v>
      </c>
      <c r="N143" s="115"/>
      <c r="O143" s="54">
        <f t="shared" si="49"/>
        <v>0</v>
      </c>
      <c r="P143" s="54">
        <f t="shared" si="50"/>
        <v>0</v>
      </c>
    </row>
    <row r="144" spans="2:16">
      <c r="B144" s="7" t="str">
        <f t="shared" si="34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41"/>
        <v>0</v>
      </c>
      <c r="F144" s="55">
        <f t="shared" si="42"/>
        <v>0</v>
      </c>
      <c r="G144" s="55">
        <f t="shared" si="43"/>
        <v>0</v>
      </c>
      <c r="H144" s="355">
        <f t="shared" si="44"/>
        <v>0</v>
      </c>
      <c r="I144" s="381">
        <f t="shared" si="45"/>
        <v>0</v>
      </c>
      <c r="J144" s="54">
        <f t="shared" si="47"/>
        <v>0</v>
      </c>
      <c r="K144" s="54"/>
      <c r="L144" s="115"/>
      <c r="M144" s="54">
        <f t="shared" si="48"/>
        <v>0</v>
      </c>
      <c r="N144" s="115"/>
      <c r="O144" s="54">
        <f t="shared" si="49"/>
        <v>0</v>
      </c>
      <c r="P144" s="54">
        <f t="shared" si="50"/>
        <v>0</v>
      </c>
    </row>
    <row r="145" spans="2:16">
      <c r="B145" s="7" t="str">
        <f t="shared" si="34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41"/>
        <v>0</v>
      </c>
      <c r="F145" s="55">
        <f t="shared" si="42"/>
        <v>0</v>
      </c>
      <c r="G145" s="55">
        <f t="shared" si="43"/>
        <v>0</v>
      </c>
      <c r="H145" s="355">
        <f t="shared" si="44"/>
        <v>0</v>
      </c>
      <c r="I145" s="381">
        <f t="shared" si="45"/>
        <v>0</v>
      </c>
      <c r="J145" s="54">
        <f t="shared" si="47"/>
        <v>0</v>
      </c>
      <c r="K145" s="54"/>
      <c r="L145" s="115"/>
      <c r="M145" s="54">
        <f t="shared" si="48"/>
        <v>0</v>
      </c>
      <c r="N145" s="115"/>
      <c r="O145" s="54">
        <f t="shared" si="49"/>
        <v>0</v>
      </c>
      <c r="P145" s="54">
        <f t="shared" si="50"/>
        <v>0</v>
      </c>
    </row>
    <row r="146" spans="2:16">
      <c r="B146" s="7" t="str">
        <f t="shared" si="34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41"/>
        <v>0</v>
      </c>
      <c r="F146" s="55">
        <f t="shared" si="42"/>
        <v>0</v>
      </c>
      <c r="G146" s="55">
        <f t="shared" si="43"/>
        <v>0</v>
      </c>
      <c r="H146" s="355">
        <f t="shared" si="44"/>
        <v>0</v>
      </c>
      <c r="I146" s="381">
        <f t="shared" si="45"/>
        <v>0</v>
      </c>
      <c r="J146" s="54">
        <f t="shared" si="47"/>
        <v>0</v>
      </c>
      <c r="K146" s="54"/>
      <c r="L146" s="115"/>
      <c r="M146" s="54">
        <f t="shared" si="48"/>
        <v>0</v>
      </c>
      <c r="N146" s="115"/>
      <c r="O146" s="54">
        <f t="shared" si="49"/>
        <v>0</v>
      </c>
      <c r="P146" s="54">
        <f t="shared" si="50"/>
        <v>0</v>
      </c>
    </row>
    <row r="147" spans="2:16">
      <c r="B147" s="7" t="str">
        <f t="shared" si="34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41"/>
        <v>0</v>
      </c>
      <c r="F147" s="55">
        <f t="shared" si="42"/>
        <v>0</v>
      </c>
      <c r="G147" s="55">
        <f t="shared" si="43"/>
        <v>0</v>
      </c>
      <c r="H147" s="355">
        <f t="shared" si="44"/>
        <v>0</v>
      </c>
      <c r="I147" s="381">
        <f t="shared" si="45"/>
        <v>0</v>
      </c>
      <c r="J147" s="54">
        <f t="shared" si="47"/>
        <v>0</v>
      </c>
      <c r="K147" s="54"/>
      <c r="L147" s="115"/>
      <c r="M147" s="54">
        <f t="shared" si="48"/>
        <v>0</v>
      </c>
      <c r="N147" s="115"/>
      <c r="O147" s="54">
        <f t="shared" si="49"/>
        <v>0</v>
      </c>
      <c r="P147" s="54">
        <f t="shared" si="50"/>
        <v>0</v>
      </c>
    </row>
    <row r="148" spans="2:16">
      <c r="B148" s="7" t="str">
        <f t="shared" si="34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41"/>
        <v>0</v>
      </c>
      <c r="F148" s="55">
        <f t="shared" si="42"/>
        <v>0</v>
      </c>
      <c r="G148" s="55">
        <f t="shared" si="43"/>
        <v>0</v>
      </c>
      <c r="H148" s="355">
        <f t="shared" si="44"/>
        <v>0</v>
      </c>
      <c r="I148" s="381">
        <f t="shared" si="45"/>
        <v>0</v>
      </c>
      <c r="J148" s="54">
        <f t="shared" si="47"/>
        <v>0</v>
      </c>
      <c r="K148" s="54"/>
      <c r="L148" s="115"/>
      <c r="M148" s="54">
        <f t="shared" si="48"/>
        <v>0</v>
      </c>
      <c r="N148" s="115"/>
      <c r="O148" s="54">
        <f t="shared" si="49"/>
        <v>0</v>
      </c>
      <c r="P148" s="54">
        <f t="shared" si="50"/>
        <v>0</v>
      </c>
    </row>
    <row r="149" spans="2:16">
      <c r="B149" s="7" t="str">
        <f t="shared" si="34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41"/>
        <v>0</v>
      </c>
      <c r="F149" s="55">
        <f t="shared" si="42"/>
        <v>0</v>
      </c>
      <c r="G149" s="55">
        <f t="shared" si="43"/>
        <v>0</v>
      </c>
      <c r="H149" s="355">
        <f t="shared" si="44"/>
        <v>0</v>
      </c>
      <c r="I149" s="381">
        <f t="shared" si="45"/>
        <v>0</v>
      </c>
      <c r="J149" s="54">
        <f t="shared" si="47"/>
        <v>0</v>
      </c>
      <c r="K149" s="54"/>
      <c r="L149" s="115"/>
      <c r="M149" s="54">
        <f t="shared" si="48"/>
        <v>0</v>
      </c>
      <c r="N149" s="115"/>
      <c r="O149" s="54">
        <f t="shared" si="49"/>
        <v>0</v>
      </c>
      <c r="P149" s="54">
        <f t="shared" si="50"/>
        <v>0</v>
      </c>
    </row>
    <row r="150" spans="2:16">
      <c r="B150" s="7" t="str">
        <f t="shared" si="34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41"/>
        <v>0</v>
      </c>
      <c r="F150" s="55">
        <f t="shared" si="42"/>
        <v>0</v>
      </c>
      <c r="G150" s="55">
        <f t="shared" si="43"/>
        <v>0</v>
      </c>
      <c r="H150" s="355">
        <f t="shared" si="44"/>
        <v>0</v>
      </c>
      <c r="I150" s="381">
        <f t="shared" si="45"/>
        <v>0</v>
      </c>
      <c r="J150" s="54">
        <f t="shared" si="47"/>
        <v>0</v>
      </c>
      <c r="K150" s="54"/>
      <c r="L150" s="115"/>
      <c r="M150" s="54">
        <f t="shared" si="48"/>
        <v>0</v>
      </c>
      <c r="N150" s="115"/>
      <c r="O150" s="54">
        <f t="shared" si="49"/>
        <v>0</v>
      </c>
      <c r="P150" s="54">
        <f t="shared" si="50"/>
        <v>0</v>
      </c>
    </row>
    <row r="151" spans="2:16">
      <c r="B151" s="7" t="str">
        <f t="shared" si="34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41"/>
        <v>0</v>
      </c>
      <c r="F151" s="55">
        <f t="shared" si="42"/>
        <v>0</v>
      </c>
      <c r="G151" s="55">
        <f t="shared" si="43"/>
        <v>0</v>
      </c>
      <c r="H151" s="355">
        <f t="shared" si="44"/>
        <v>0</v>
      </c>
      <c r="I151" s="381">
        <f t="shared" si="45"/>
        <v>0</v>
      </c>
      <c r="J151" s="54">
        <f t="shared" si="47"/>
        <v>0</v>
      </c>
      <c r="K151" s="54"/>
      <c r="L151" s="115"/>
      <c r="M151" s="54">
        <f t="shared" si="48"/>
        <v>0</v>
      </c>
      <c r="N151" s="115"/>
      <c r="O151" s="54">
        <f t="shared" si="49"/>
        <v>0</v>
      </c>
      <c r="P151" s="54">
        <f t="shared" si="50"/>
        <v>0</v>
      </c>
    </row>
    <row r="152" spans="2:16">
      <c r="B152" s="7" t="str">
        <f t="shared" si="34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41"/>
        <v>0</v>
      </c>
      <c r="F152" s="55">
        <f t="shared" si="42"/>
        <v>0</v>
      </c>
      <c r="G152" s="55">
        <f t="shared" si="43"/>
        <v>0</v>
      </c>
      <c r="H152" s="355">
        <f t="shared" si="44"/>
        <v>0</v>
      </c>
      <c r="I152" s="381">
        <f t="shared" si="45"/>
        <v>0</v>
      </c>
      <c r="J152" s="54">
        <f t="shared" si="47"/>
        <v>0</v>
      </c>
      <c r="K152" s="54"/>
      <c r="L152" s="115"/>
      <c r="M152" s="54">
        <f t="shared" si="48"/>
        <v>0</v>
      </c>
      <c r="N152" s="115"/>
      <c r="O152" s="54">
        <f t="shared" si="49"/>
        <v>0</v>
      </c>
      <c r="P152" s="54">
        <f t="shared" si="50"/>
        <v>0</v>
      </c>
    </row>
    <row r="153" spans="2:16">
      <c r="B153" s="7" t="str">
        <f t="shared" si="34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41"/>
        <v>0</v>
      </c>
      <c r="F153" s="55">
        <f t="shared" si="42"/>
        <v>0</v>
      </c>
      <c r="G153" s="55">
        <f t="shared" si="43"/>
        <v>0</v>
      </c>
      <c r="H153" s="355">
        <f t="shared" si="44"/>
        <v>0</v>
      </c>
      <c r="I153" s="381">
        <f t="shared" si="45"/>
        <v>0</v>
      </c>
      <c r="J153" s="54">
        <f t="shared" si="47"/>
        <v>0</v>
      </c>
      <c r="K153" s="54"/>
      <c r="L153" s="115"/>
      <c r="M153" s="54">
        <f t="shared" si="48"/>
        <v>0</v>
      </c>
      <c r="N153" s="115"/>
      <c r="O153" s="54">
        <f t="shared" si="49"/>
        <v>0</v>
      </c>
      <c r="P153" s="54">
        <f t="shared" si="50"/>
        <v>0</v>
      </c>
    </row>
    <row r="154" spans="2:16" ht="13.5" thickBot="1">
      <c r="B154" s="7" t="str">
        <f t="shared" si="34"/>
        <v/>
      </c>
      <c r="C154" s="58">
        <f>IF(D93="","-",+C153+1)</f>
        <v>2073</v>
      </c>
      <c r="D154" s="357">
        <f>IF(F153+SUM(E$99:E153)=D$92,F153,D$92-SUM(E$99:E153))</f>
        <v>0</v>
      </c>
      <c r="E154" s="357">
        <f t="shared" si="41"/>
        <v>0</v>
      </c>
      <c r="F154" s="59">
        <f t="shared" si="42"/>
        <v>0</v>
      </c>
      <c r="G154" s="59">
        <f t="shared" si="43"/>
        <v>0</v>
      </c>
      <c r="H154" s="435">
        <f t="shared" ref="H154" si="51">+J$94*G154+E154</f>
        <v>0</v>
      </c>
      <c r="I154" s="436">
        <f t="shared" ref="I154" si="52">+J$95*G154+E154</f>
        <v>0</v>
      </c>
      <c r="J154" s="62">
        <f t="shared" si="47"/>
        <v>0</v>
      </c>
      <c r="K154" s="54"/>
      <c r="L154" s="116"/>
      <c r="M154" s="62">
        <f t="shared" si="48"/>
        <v>0</v>
      </c>
      <c r="N154" s="116"/>
      <c r="O154" s="62">
        <f t="shared" si="49"/>
        <v>0</v>
      </c>
      <c r="P154" s="62">
        <f t="shared" si="50"/>
        <v>0</v>
      </c>
    </row>
    <row r="155" spans="2:16">
      <c r="C155" s="12" t="s">
        <v>77</v>
      </c>
      <c r="D155" s="266"/>
      <c r="E155" s="266">
        <f>SUM(E99:E154)</f>
        <v>244000</v>
      </c>
      <c r="F155" s="266"/>
      <c r="G155" s="266"/>
      <c r="H155" s="266">
        <f>SUM(H99:H154)</f>
        <v>788749.87834518624</v>
      </c>
      <c r="I155" s="266">
        <f>SUM(I99:I154)</f>
        <v>788749.87834518624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1" priority="1" stopIfTrue="1" operator="equal">
      <formula>$I$10</formula>
    </cfRule>
  </conditionalFormatting>
  <conditionalFormatting sqref="C99:C154">
    <cfRule type="cellIs" dxfId="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162"/>
  <sheetViews>
    <sheetView topLeftCell="A78" zoomScale="80" zoomScaleNormal="80" workbookViewId="0">
      <selection activeCell="K93" sqref="K93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23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136933.15601544653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136933.15601544653</v>
      </c>
      <c r="O6" s="1"/>
      <c r="P6" s="1"/>
    </row>
    <row r="7" spans="1:16" ht="13.5" thickBot="1">
      <c r="C7" s="26" t="s">
        <v>46</v>
      </c>
      <c r="D7" s="88" t="s">
        <v>299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300</v>
      </c>
      <c r="E9" s="404" t="s">
        <v>301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1165593.0099999998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5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30673.50026315789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2018</v>
      </c>
      <c r="D17" s="411">
        <v>0</v>
      </c>
      <c r="E17" s="432">
        <v>19755.555555555555</v>
      </c>
      <c r="F17" s="411">
        <v>1758244.4444444445</v>
      </c>
      <c r="G17" s="432">
        <v>125038.30164155026</v>
      </c>
      <c r="H17" s="414">
        <v>125038.30164155026</v>
      </c>
      <c r="I17" s="52">
        <f>H17-G17</f>
        <v>0</v>
      </c>
      <c r="J17" s="52"/>
      <c r="K17" s="117">
        <f t="shared" ref="K17:K22" si="0">+G17</f>
        <v>125038.30164155026</v>
      </c>
      <c r="L17" s="53">
        <f t="shared" ref="L17:L72" si="1">IF(K17&lt;&gt;0,+G17-K17,0)</f>
        <v>0</v>
      </c>
      <c r="M17" s="117">
        <f t="shared" ref="M17:M22" si="2">+H17</f>
        <v>125038.30164155026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2019</v>
      </c>
      <c r="D18" s="411">
        <v>2017244.4444444445</v>
      </c>
      <c r="E18" s="412">
        <v>50925</v>
      </c>
      <c r="F18" s="411">
        <v>1966319.4444444445</v>
      </c>
      <c r="G18" s="412">
        <v>273320.66219595348</v>
      </c>
      <c r="H18" s="414">
        <v>273320.66219595348</v>
      </c>
      <c r="I18" s="52">
        <f>H18-G18</f>
        <v>0</v>
      </c>
      <c r="J18" s="52"/>
      <c r="K18" s="54">
        <f t="shared" si="0"/>
        <v>273320.66219595348</v>
      </c>
      <c r="L18" s="54">
        <f t="shared" si="1"/>
        <v>0</v>
      </c>
      <c r="M18" s="54">
        <f t="shared" si="2"/>
        <v>273320.66219595348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>IU</v>
      </c>
      <c r="C19" s="50">
        <f>IF(D11="","-",+C18+1)</f>
        <v>2020</v>
      </c>
      <c r="D19" s="411">
        <v>1141057.3333333333</v>
      </c>
      <c r="E19" s="412">
        <v>28579.142857142859</v>
      </c>
      <c r="F19" s="411">
        <v>1112478.1904761903</v>
      </c>
      <c r="G19" s="412">
        <v>150275.44361099388</v>
      </c>
      <c r="H19" s="414">
        <v>150275.44361099388</v>
      </c>
      <c r="I19" s="52">
        <f t="shared" ref="I19:I71" si="5">H19-G19</f>
        <v>0</v>
      </c>
      <c r="J19" s="52"/>
      <c r="K19" s="54">
        <f t="shared" si="0"/>
        <v>150275.44361099388</v>
      </c>
      <c r="L19" s="54">
        <f t="shared" ref="L19" si="6">IF(K19&lt;&gt;0,+G19-K19,0)</f>
        <v>0</v>
      </c>
      <c r="M19" s="54">
        <f t="shared" si="2"/>
        <v>150275.44361099388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2021</v>
      </c>
      <c r="D20" s="411">
        <v>1076920.3015873015</v>
      </c>
      <c r="E20" s="412">
        <v>27353.023255813954</v>
      </c>
      <c r="F20" s="411">
        <v>1049567.2783314877</v>
      </c>
      <c r="G20" s="412">
        <v>141993.72505975311</v>
      </c>
      <c r="H20" s="414">
        <v>141993.72505975311</v>
      </c>
      <c r="I20" s="52">
        <f t="shared" si="5"/>
        <v>0</v>
      </c>
      <c r="J20" s="52"/>
      <c r="K20" s="54">
        <f t="shared" si="0"/>
        <v>141993.72505975311</v>
      </c>
      <c r="L20" s="54">
        <f t="shared" ref="L20" si="8">IF(K20&lt;&gt;0,+G20-K20,0)</f>
        <v>0</v>
      </c>
      <c r="M20" s="54">
        <f t="shared" si="2"/>
        <v>141993.72505975311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7"/>
        <v>IU</v>
      </c>
      <c r="C21" s="50">
        <f>IF(D11="","-",+C20+1)</f>
        <v>2022</v>
      </c>
      <c r="D21" s="411">
        <v>1038980.2783314877</v>
      </c>
      <c r="E21" s="412">
        <v>27752.214285714286</v>
      </c>
      <c r="F21" s="411">
        <v>1011228.0640457734</v>
      </c>
      <c r="G21" s="412">
        <v>138269.97206377087</v>
      </c>
      <c r="H21" s="414">
        <v>138269.97206377087</v>
      </c>
      <c r="I21" s="52">
        <f t="shared" si="5"/>
        <v>0</v>
      </c>
      <c r="J21" s="52"/>
      <c r="K21" s="54">
        <f t="shared" si="0"/>
        <v>138269.97206377087</v>
      </c>
      <c r="L21" s="54">
        <f t="shared" ref="L21" si="9">IF(K21&lt;&gt;0,+G21-K21,0)</f>
        <v>0</v>
      </c>
      <c r="M21" s="54">
        <f t="shared" si="2"/>
        <v>138269.97206377087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7"/>
        <v>IU</v>
      </c>
      <c r="C22" s="50">
        <f>IF(D11="","-",+C21+1)</f>
        <v>2023</v>
      </c>
      <c r="D22" s="411">
        <v>1011228.0740457731</v>
      </c>
      <c r="E22" s="412">
        <v>29887.000256410251</v>
      </c>
      <c r="F22" s="411">
        <v>981341.07378936291</v>
      </c>
      <c r="G22" s="412">
        <v>148802.48155476435</v>
      </c>
      <c r="H22" s="414">
        <v>148802.48155476435</v>
      </c>
      <c r="I22" s="52">
        <f t="shared" si="5"/>
        <v>0</v>
      </c>
      <c r="J22" s="52"/>
      <c r="K22" s="54">
        <f t="shared" si="0"/>
        <v>148802.48155476435</v>
      </c>
      <c r="L22" s="54">
        <f t="shared" ref="L22" si="10">IF(K22&lt;&gt;0,+G22-K22,0)</f>
        <v>0</v>
      </c>
      <c r="M22" s="54">
        <f t="shared" si="2"/>
        <v>148802.48155476435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7"/>
        <v/>
      </c>
      <c r="C23" s="50">
        <f>IF(D11="","-",+C22+1)</f>
        <v>2024</v>
      </c>
      <c r="D23" s="411">
        <v>981341.07378936291</v>
      </c>
      <c r="E23" s="412">
        <v>30673.50026315789</v>
      </c>
      <c r="F23" s="411">
        <v>950667.57352620503</v>
      </c>
      <c r="G23" s="412">
        <v>140547.01323868823</v>
      </c>
      <c r="H23" s="414">
        <v>140547.01323868823</v>
      </c>
      <c r="I23" s="52">
        <f t="shared" si="5"/>
        <v>0</v>
      </c>
      <c r="J23" s="52"/>
      <c r="K23" s="54">
        <f t="shared" ref="K23" si="11">+G23</f>
        <v>140547.01323868823</v>
      </c>
      <c r="L23" s="54">
        <f t="shared" ref="L23" si="12">IF(K23&lt;&gt;0,+G23-K23,0)</f>
        <v>0</v>
      </c>
      <c r="M23" s="54">
        <f t="shared" ref="M23" si="13">+H23</f>
        <v>140547.01323868823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>
      <c r="B24" s="7" t="str">
        <f t="shared" si="7"/>
        <v/>
      </c>
      <c r="C24" s="50">
        <f>IF(D11="","-",+C23+1)</f>
        <v>2025</v>
      </c>
      <c r="D24" s="411">
        <v>950667.57352620503</v>
      </c>
      <c r="E24" s="412">
        <v>30673.50026315789</v>
      </c>
      <c r="F24" s="411">
        <v>919994.07326304715</v>
      </c>
      <c r="G24" s="412">
        <v>136933.15601544653</v>
      </c>
      <c r="H24" s="414">
        <v>136933.15601544653</v>
      </c>
      <c r="I24" s="52">
        <f t="shared" si="5"/>
        <v>0</v>
      </c>
      <c r="J24" s="52"/>
      <c r="K24" s="54">
        <f t="shared" ref="K24" si="16">+G24</f>
        <v>136933.15601544653</v>
      </c>
      <c r="L24" s="54">
        <f t="shared" ref="L24" si="17">IF(K24&lt;&gt;0,+G24-K24,0)</f>
        <v>0</v>
      </c>
      <c r="M24" s="54">
        <f t="shared" ref="M24" si="18">+H24</f>
        <v>136933.15601544653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919994.07326304715</v>
      </c>
      <c r="E25" s="354">
        <f t="shared" ref="E25:E71" si="21">IF(+I$14&lt;F24,I$14,D25)</f>
        <v>30673.50026315789</v>
      </c>
      <c r="F25" s="55">
        <f t="shared" ref="F25:F71" si="22">+D25-E25</f>
        <v>889320.57299988926</v>
      </c>
      <c r="G25" s="355">
        <f t="shared" ref="G25:G71" si="23">(D25+F25)/2*I$12+E25</f>
        <v>133448.4471860597</v>
      </c>
      <c r="H25" s="336">
        <f t="shared" ref="H25:H71" si="24">+(D25+F25)/2*I$13+E25</f>
        <v>133448.4471860597</v>
      </c>
      <c r="I25" s="52">
        <f t="shared" si="5"/>
        <v>0</v>
      </c>
      <c r="J25" s="52"/>
      <c r="K25" s="115"/>
      <c r="L25" s="54">
        <f t="shared" si="1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889320.57299988926</v>
      </c>
      <c r="E26" s="354">
        <f t="shared" si="21"/>
        <v>30673.50026315789</v>
      </c>
      <c r="F26" s="55">
        <f t="shared" si="22"/>
        <v>858647.07273673138</v>
      </c>
      <c r="G26" s="355">
        <f t="shared" si="23"/>
        <v>129963.7383566729</v>
      </c>
      <c r="H26" s="336">
        <f t="shared" si="24"/>
        <v>129963.7383566729</v>
      </c>
      <c r="I26" s="52">
        <f t="shared" si="5"/>
        <v>0</v>
      </c>
      <c r="J26" s="52"/>
      <c r="K26" s="115"/>
      <c r="L26" s="54">
        <f t="shared" si="1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858647.07273673138</v>
      </c>
      <c r="E27" s="354">
        <f t="shared" si="21"/>
        <v>30673.50026315789</v>
      </c>
      <c r="F27" s="55">
        <f t="shared" si="22"/>
        <v>827973.5724735735</v>
      </c>
      <c r="G27" s="355">
        <f t="shared" si="23"/>
        <v>126479.02952728607</v>
      </c>
      <c r="H27" s="336">
        <f t="shared" si="24"/>
        <v>126479.02952728607</v>
      </c>
      <c r="I27" s="52">
        <f t="shared" si="5"/>
        <v>0</v>
      </c>
      <c r="J27" s="52"/>
      <c r="K27" s="115"/>
      <c r="L27" s="54">
        <f t="shared" si="1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827973.5724735735</v>
      </c>
      <c r="E28" s="354">
        <f t="shared" si="21"/>
        <v>30673.50026315789</v>
      </c>
      <c r="F28" s="55">
        <f t="shared" si="22"/>
        <v>797300.07221041562</v>
      </c>
      <c r="G28" s="355">
        <f t="shared" si="23"/>
        <v>122994.32069789927</v>
      </c>
      <c r="H28" s="336">
        <f t="shared" si="24"/>
        <v>122994.32069789927</v>
      </c>
      <c r="I28" s="52">
        <f t="shared" si="5"/>
        <v>0</v>
      </c>
      <c r="J28" s="52"/>
      <c r="K28" s="115"/>
      <c r="L28" s="54">
        <f t="shared" si="1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797300.07221041562</v>
      </c>
      <c r="E29" s="354">
        <f t="shared" si="21"/>
        <v>30673.50026315789</v>
      </c>
      <c r="F29" s="55">
        <f t="shared" si="22"/>
        <v>766626.57194725773</v>
      </c>
      <c r="G29" s="355">
        <f t="shared" si="23"/>
        <v>119509.61186851244</v>
      </c>
      <c r="H29" s="336">
        <f t="shared" si="24"/>
        <v>119509.61186851244</v>
      </c>
      <c r="I29" s="52">
        <f t="shared" si="5"/>
        <v>0</v>
      </c>
      <c r="J29" s="52"/>
      <c r="K29" s="115"/>
      <c r="L29" s="54">
        <f t="shared" si="1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766626.57194725773</v>
      </c>
      <c r="E30" s="354">
        <f t="shared" si="21"/>
        <v>30673.50026315789</v>
      </c>
      <c r="F30" s="55">
        <f t="shared" si="22"/>
        <v>735953.07168409985</v>
      </c>
      <c r="G30" s="355">
        <f t="shared" si="23"/>
        <v>116024.90303912564</v>
      </c>
      <c r="H30" s="336">
        <f t="shared" si="24"/>
        <v>116024.90303912564</v>
      </c>
      <c r="I30" s="52">
        <f t="shared" si="5"/>
        <v>0</v>
      </c>
      <c r="J30" s="52"/>
      <c r="K30" s="115"/>
      <c r="L30" s="54">
        <f t="shared" si="1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735953.07168409985</v>
      </c>
      <c r="E31" s="354">
        <f t="shared" si="21"/>
        <v>30673.50026315789</v>
      </c>
      <c r="F31" s="55">
        <f t="shared" si="22"/>
        <v>705279.57142094197</v>
      </c>
      <c r="G31" s="355">
        <f t="shared" si="23"/>
        <v>112540.19420973881</v>
      </c>
      <c r="H31" s="336">
        <f t="shared" si="24"/>
        <v>112540.19420973881</v>
      </c>
      <c r="I31" s="52">
        <f t="shared" si="5"/>
        <v>0</v>
      </c>
      <c r="J31" s="52"/>
      <c r="K31" s="115"/>
      <c r="L31" s="54">
        <f t="shared" si="1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705279.57142094197</v>
      </c>
      <c r="E32" s="354">
        <f t="shared" si="21"/>
        <v>30673.50026315789</v>
      </c>
      <c r="F32" s="55">
        <f t="shared" si="22"/>
        <v>674606.07115778408</v>
      </c>
      <c r="G32" s="355">
        <f t="shared" si="23"/>
        <v>109055.48538035204</v>
      </c>
      <c r="H32" s="336">
        <f t="shared" si="24"/>
        <v>109055.48538035204</v>
      </c>
      <c r="I32" s="52">
        <f t="shared" si="5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674606.07115778408</v>
      </c>
      <c r="E33" s="354">
        <f t="shared" si="21"/>
        <v>30673.50026315789</v>
      </c>
      <c r="F33" s="55">
        <f t="shared" si="22"/>
        <v>643932.5708946262</v>
      </c>
      <c r="G33" s="355">
        <f t="shared" si="23"/>
        <v>105570.77655096521</v>
      </c>
      <c r="H33" s="336">
        <f t="shared" si="24"/>
        <v>105570.77655096521</v>
      </c>
      <c r="I33" s="52">
        <f t="shared" si="5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643932.5708946262</v>
      </c>
      <c r="E34" s="354">
        <f t="shared" si="21"/>
        <v>30673.50026315789</v>
      </c>
      <c r="F34" s="55">
        <f t="shared" si="22"/>
        <v>613259.07063146832</v>
      </c>
      <c r="G34" s="355">
        <f t="shared" si="23"/>
        <v>102086.06772157841</v>
      </c>
      <c r="H34" s="336">
        <f t="shared" si="24"/>
        <v>102086.06772157841</v>
      </c>
      <c r="I34" s="52">
        <f t="shared" si="5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613259.07063146832</v>
      </c>
      <c r="E35" s="354">
        <f t="shared" si="21"/>
        <v>30673.50026315789</v>
      </c>
      <c r="F35" s="55">
        <f t="shared" si="22"/>
        <v>582585.57036831044</v>
      </c>
      <c r="G35" s="355">
        <f t="shared" si="23"/>
        <v>98601.35889219158</v>
      </c>
      <c r="H35" s="336">
        <f t="shared" si="24"/>
        <v>98601.35889219158</v>
      </c>
      <c r="I35" s="52">
        <f t="shared" si="5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582585.57036831044</v>
      </c>
      <c r="E36" s="354">
        <f t="shared" si="21"/>
        <v>30673.50026315789</v>
      </c>
      <c r="F36" s="55">
        <f t="shared" si="22"/>
        <v>551912.07010515255</v>
      </c>
      <c r="G36" s="355">
        <f t="shared" si="23"/>
        <v>95116.65006280478</v>
      </c>
      <c r="H36" s="336">
        <f t="shared" si="24"/>
        <v>95116.65006280478</v>
      </c>
      <c r="I36" s="52">
        <f t="shared" si="5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551912.07010515255</v>
      </c>
      <c r="E37" s="354">
        <f t="shared" si="21"/>
        <v>30673.50026315789</v>
      </c>
      <c r="F37" s="55">
        <f t="shared" si="22"/>
        <v>521238.56984199467</v>
      </c>
      <c r="G37" s="355">
        <f t="shared" si="23"/>
        <v>91631.941233417951</v>
      </c>
      <c r="H37" s="336">
        <f t="shared" si="24"/>
        <v>91631.941233417951</v>
      </c>
      <c r="I37" s="52">
        <f t="shared" si="5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521238.56984199467</v>
      </c>
      <c r="E38" s="354">
        <f t="shared" si="21"/>
        <v>30673.50026315789</v>
      </c>
      <c r="F38" s="55">
        <f t="shared" si="22"/>
        <v>490565.06957883679</v>
      </c>
      <c r="G38" s="355">
        <f t="shared" si="23"/>
        <v>88147.232404031136</v>
      </c>
      <c r="H38" s="336">
        <f t="shared" si="24"/>
        <v>88147.232404031136</v>
      </c>
      <c r="I38" s="52">
        <f t="shared" si="5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490565.06957883679</v>
      </c>
      <c r="E39" s="354">
        <f t="shared" si="21"/>
        <v>30673.50026315789</v>
      </c>
      <c r="F39" s="55">
        <f t="shared" si="22"/>
        <v>459891.56931567891</v>
      </c>
      <c r="G39" s="355">
        <f t="shared" si="23"/>
        <v>84662.523574644321</v>
      </c>
      <c r="H39" s="336">
        <f t="shared" si="24"/>
        <v>84662.523574644321</v>
      </c>
      <c r="I39" s="52">
        <f t="shared" si="5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459891.56931567891</v>
      </c>
      <c r="E40" s="354">
        <f t="shared" si="21"/>
        <v>30673.50026315789</v>
      </c>
      <c r="F40" s="55">
        <f t="shared" si="22"/>
        <v>429218.06905252102</v>
      </c>
      <c r="G40" s="355">
        <f t="shared" si="23"/>
        <v>81177.814745257521</v>
      </c>
      <c r="H40" s="336">
        <f t="shared" si="24"/>
        <v>81177.814745257521</v>
      </c>
      <c r="I40" s="52">
        <f t="shared" si="5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429218.06905252102</v>
      </c>
      <c r="E41" s="354">
        <f t="shared" si="21"/>
        <v>30673.50026315789</v>
      </c>
      <c r="F41" s="55">
        <f t="shared" si="22"/>
        <v>398544.56878936314</v>
      </c>
      <c r="G41" s="355">
        <f t="shared" si="23"/>
        <v>77693.105915870692</v>
      </c>
      <c r="H41" s="336">
        <f t="shared" si="24"/>
        <v>77693.105915870692</v>
      </c>
      <c r="I41" s="52">
        <f t="shared" si="5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398544.56878936314</v>
      </c>
      <c r="E42" s="354">
        <f t="shared" si="21"/>
        <v>30673.50026315789</v>
      </c>
      <c r="F42" s="55">
        <f t="shared" si="22"/>
        <v>367871.06852620526</v>
      </c>
      <c r="G42" s="355">
        <f t="shared" si="23"/>
        <v>74208.397086483892</v>
      </c>
      <c r="H42" s="336">
        <f t="shared" si="24"/>
        <v>74208.397086483892</v>
      </c>
      <c r="I42" s="52">
        <f t="shared" si="5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367871.06852620526</v>
      </c>
      <c r="E43" s="354">
        <f t="shared" si="21"/>
        <v>30673.50026315789</v>
      </c>
      <c r="F43" s="55">
        <f t="shared" si="22"/>
        <v>337197.56826304737</v>
      </c>
      <c r="G43" s="355">
        <f t="shared" si="23"/>
        <v>70723.688257097077</v>
      </c>
      <c r="H43" s="336">
        <f t="shared" si="24"/>
        <v>70723.688257097077</v>
      </c>
      <c r="I43" s="52">
        <f t="shared" si="5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337197.56826304737</v>
      </c>
      <c r="E44" s="354">
        <f t="shared" si="21"/>
        <v>30673.50026315789</v>
      </c>
      <c r="F44" s="55">
        <f t="shared" si="22"/>
        <v>306524.06799988949</v>
      </c>
      <c r="G44" s="355">
        <f t="shared" si="23"/>
        <v>67238.979427710263</v>
      </c>
      <c r="H44" s="336">
        <f t="shared" si="24"/>
        <v>67238.979427710263</v>
      </c>
      <c r="I44" s="52">
        <f t="shared" si="5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306524.06799988949</v>
      </c>
      <c r="E45" s="354">
        <f t="shared" si="21"/>
        <v>30673.50026315789</v>
      </c>
      <c r="F45" s="55">
        <f t="shared" si="22"/>
        <v>275850.56773673161</v>
      </c>
      <c r="G45" s="355">
        <f t="shared" si="23"/>
        <v>63754.270598323448</v>
      </c>
      <c r="H45" s="336">
        <f t="shared" si="24"/>
        <v>63754.270598323448</v>
      </c>
      <c r="I45" s="52">
        <f t="shared" si="5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275850.56773673161</v>
      </c>
      <c r="E46" s="354">
        <f t="shared" si="21"/>
        <v>30673.50026315789</v>
      </c>
      <c r="F46" s="55">
        <f t="shared" si="22"/>
        <v>245177.06747357373</v>
      </c>
      <c r="G46" s="355">
        <f t="shared" si="23"/>
        <v>60269.561768936634</v>
      </c>
      <c r="H46" s="336">
        <f t="shared" si="24"/>
        <v>60269.561768936634</v>
      </c>
      <c r="I46" s="52">
        <f t="shared" si="5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245177.06747357373</v>
      </c>
      <c r="E47" s="354">
        <f t="shared" si="21"/>
        <v>30673.50026315789</v>
      </c>
      <c r="F47" s="55">
        <f t="shared" si="22"/>
        <v>214503.56721041584</v>
      </c>
      <c r="G47" s="355">
        <f t="shared" si="23"/>
        <v>56784.852939549819</v>
      </c>
      <c r="H47" s="336">
        <f t="shared" si="24"/>
        <v>56784.852939549819</v>
      </c>
      <c r="I47" s="52">
        <f t="shared" si="5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214503.56721041584</v>
      </c>
      <c r="E48" s="354">
        <f t="shared" si="21"/>
        <v>30673.50026315789</v>
      </c>
      <c r="F48" s="55">
        <f t="shared" si="22"/>
        <v>183830.06694725796</v>
      </c>
      <c r="G48" s="355">
        <f t="shared" si="23"/>
        <v>53300.144110163012</v>
      </c>
      <c r="H48" s="336">
        <f t="shared" si="24"/>
        <v>53300.144110163012</v>
      </c>
      <c r="I48" s="52">
        <f t="shared" si="5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183830.06694725796</v>
      </c>
      <c r="E49" s="354">
        <f t="shared" si="21"/>
        <v>30673.50026315789</v>
      </c>
      <c r="F49" s="55">
        <f t="shared" si="22"/>
        <v>153156.56668410008</v>
      </c>
      <c r="G49" s="355">
        <f t="shared" si="23"/>
        <v>49815.435280776197</v>
      </c>
      <c r="H49" s="336">
        <f t="shared" si="24"/>
        <v>49815.435280776197</v>
      </c>
      <c r="I49" s="52">
        <f t="shared" si="5"/>
        <v>0</v>
      </c>
      <c r="J49" s="52"/>
      <c r="K49" s="115"/>
      <c r="L49" s="54">
        <f t="shared" si="1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153156.56668410008</v>
      </c>
      <c r="E50" s="354">
        <f t="shared" si="21"/>
        <v>30673.50026315789</v>
      </c>
      <c r="F50" s="55">
        <f t="shared" si="22"/>
        <v>122483.0664209422</v>
      </c>
      <c r="G50" s="355">
        <f t="shared" si="23"/>
        <v>46330.726451389382</v>
      </c>
      <c r="H50" s="336">
        <f t="shared" si="24"/>
        <v>46330.726451389382</v>
      </c>
      <c r="I50" s="52">
        <f t="shared" si="5"/>
        <v>0</v>
      </c>
      <c r="J50" s="52"/>
      <c r="K50" s="115"/>
      <c r="L50" s="54">
        <f t="shared" si="1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122483.0664209422</v>
      </c>
      <c r="E51" s="354">
        <f t="shared" si="21"/>
        <v>30673.50026315789</v>
      </c>
      <c r="F51" s="55">
        <f t="shared" si="22"/>
        <v>91809.566157784313</v>
      </c>
      <c r="G51" s="355">
        <f t="shared" si="23"/>
        <v>42846.017622002575</v>
      </c>
      <c r="H51" s="336">
        <f t="shared" si="24"/>
        <v>42846.017622002575</v>
      </c>
      <c r="I51" s="52">
        <f t="shared" si="5"/>
        <v>0</v>
      </c>
      <c r="J51" s="52"/>
      <c r="K51" s="115"/>
      <c r="L51" s="54">
        <f t="shared" si="1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91809.566157784313</v>
      </c>
      <c r="E52" s="354">
        <f t="shared" si="21"/>
        <v>30673.50026315789</v>
      </c>
      <c r="F52" s="55">
        <f t="shared" si="22"/>
        <v>61136.065894626423</v>
      </c>
      <c r="G52" s="355">
        <f t="shared" si="23"/>
        <v>39361.30879261576</v>
      </c>
      <c r="H52" s="336">
        <f t="shared" si="24"/>
        <v>39361.30879261576</v>
      </c>
      <c r="I52" s="52">
        <f t="shared" si="5"/>
        <v>0</v>
      </c>
      <c r="J52" s="52"/>
      <c r="K52" s="115"/>
      <c r="L52" s="54">
        <f t="shared" si="1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61136.065894626423</v>
      </c>
      <c r="E53" s="354">
        <f t="shared" si="21"/>
        <v>30673.50026315789</v>
      </c>
      <c r="F53" s="55">
        <f t="shared" si="22"/>
        <v>30462.565631468533</v>
      </c>
      <c r="G53" s="355">
        <f t="shared" si="23"/>
        <v>35876.599963228946</v>
      </c>
      <c r="H53" s="336">
        <f t="shared" si="24"/>
        <v>35876.599963228946</v>
      </c>
      <c r="I53" s="52">
        <f t="shared" si="5"/>
        <v>0</v>
      </c>
      <c r="J53" s="52"/>
      <c r="K53" s="115"/>
      <c r="L53" s="54">
        <f t="shared" si="1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30462.565631468533</v>
      </c>
      <c r="E54" s="354">
        <f t="shared" si="21"/>
        <v>30462.565631468533</v>
      </c>
      <c r="F54" s="55">
        <f t="shared" si="22"/>
        <v>0</v>
      </c>
      <c r="G54" s="355">
        <f t="shared" si="23"/>
        <v>32192.938274157357</v>
      </c>
      <c r="H54" s="336">
        <f t="shared" si="24"/>
        <v>32192.938274157357</v>
      </c>
      <c r="I54" s="52">
        <f t="shared" si="5"/>
        <v>0</v>
      </c>
      <c r="J54" s="52"/>
      <c r="K54" s="115"/>
      <c r="L54" s="54">
        <f t="shared" si="1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0</v>
      </c>
      <c r="E55" s="354">
        <f t="shared" si="21"/>
        <v>0</v>
      </c>
      <c r="F55" s="55">
        <f t="shared" si="22"/>
        <v>0</v>
      </c>
      <c r="G55" s="355">
        <f t="shared" si="23"/>
        <v>0</v>
      </c>
      <c r="H55" s="336">
        <f t="shared" si="24"/>
        <v>0</v>
      </c>
      <c r="I55" s="52">
        <f t="shared" si="5"/>
        <v>0</v>
      </c>
      <c r="J55" s="52"/>
      <c r="K55" s="115"/>
      <c r="L55" s="54">
        <f t="shared" si="1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0</v>
      </c>
      <c r="E56" s="354">
        <f t="shared" si="21"/>
        <v>0</v>
      </c>
      <c r="F56" s="55">
        <f t="shared" si="22"/>
        <v>0</v>
      </c>
      <c r="G56" s="355">
        <f t="shared" si="23"/>
        <v>0</v>
      </c>
      <c r="H56" s="336">
        <f t="shared" si="24"/>
        <v>0</v>
      </c>
      <c r="I56" s="52">
        <f t="shared" si="5"/>
        <v>0</v>
      </c>
      <c r="J56" s="52"/>
      <c r="K56" s="115"/>
      <c r="L56" s="54">
        <f t="shared" si="1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21"/>
        <v>0</v>
      </c>
      <c r="F57" s="55">
        <f t="shared" si="22"/>
        <v>0</v>
      </c>
      <c r="G57" s="355">
        <f t="shared" si="23"/>
        <v>0</v>
      </c>
      <c r="H57" s="336">
        <f t="shared" si="24"/>
        <v>0</v>
      </c>
      <c r="I57" s="52">
        <f t="shared" si="5"/>
        <v>0</v>
      </c>
      <c r="J57" s="52"/>
      <c r="K57" s="115"/>
      <c r="L57" s="54">
        <f t="shared" si="1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21"/>
        <v>0</v>
      </c>
      <c r="F58" s="55">
        <f t="shared" si="22"/>
        <v>0</v>
      </c>
      <c r="G58" s="355">
        <f t="shared" si="23"/>
        <v>0</v>
      </c>
      <c r="H58" s="336">
        <f t="shared" si="24"/>
        <v>0</v>
      </c>
      <c r="I58" s="52">
        <f t="shared" si="5"/>
        <v>0</v>
      </c>
      <c r="J58" s="52"/>
      <c r="K58" s="115"/>
      <c r="L58" s="54">
        <f t="shared" si="1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21"/>
        <v>0</v>
      </c>
      <c r="F59" s="55">
        <f t="shared" si="22"/>
        <v>0</v>
      </c>
      <c r="G59" s="355">
        <f t="shared" si="23"/>
        <v>0</v>
      </c>
      <c r="H59" s="336">
        <f t="shared" si="24"/>
        <v>0</v>
      </c>
      <c r="I59" s="52">
        <f t="shared" si="5"/>
        <v>0</v>
      </c>
      <c r="J59" s="52"/>
      <c r="K59" s="115"/>
      <c r="L59" s="54">
        <f t="shared" si="1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21"/>
        <v>0</v>
      </c>
      <c r="F60" s="55">
        <f t="shared" si="22"/>
        <v>0</v>
      </c>
      <c r="G60" s="355">
        <f t="shared" si="23"/>
        <v>0</v>
      </c>
      <c r="H60" s="336">
        <f t="shared" si="24"/>
        <v>0</v>
      </c>
      <c r="I60" s="52">
        <f t="shared" si="5"/>
        <v>0</v>
      </c>
      <c r="J60" s="52"/>
      <c r="K60" s="115"/>
      <c r="L60" s="54">
        <f t="shared" si="1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21"/>
        <v>0</v>
      </c>
      <c r="F61" s="55">
        <f t="shared" si="22"/>
        <v>0</v>
      </c>
      <c r="G61" s="355">
        <f t="shared" si="23"/>
        <v>0</v>
      </c>
      <c r="H61" s="336">
        <f t="shared" si="24"/>
        <v>0</v>
      </c>
      <c r="I61" s="52">
        <f t="shared" si="5"/>
        <v>0</v>
      </c>
      <c r="J61" s="52"/>
      <c r="K61" s="115"/>
      <c r="L61" s="54">
        <f t="shared" si="1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21"/>
        <v>0</v>
      </c>
      <c r="F62" s="55">
        <f t="shared" si="22"/>
        <v>0</v>
      </c>
      <c r="G62" s="355">
        <f t="shared" si="23"/>
        <v>0</v>
      </c>
      <c r="H62" s="336">
        <f t="shared" si="24"/>
        <v>0</v>
      </c>
      <c r="I62" s="52">
        <f t="shared" si="5"/>
        <v>0</v>
      </c>
      <c r="J62" s="52"/>
      <c r="K62" s="115"/>
      <c r="L62" s="54">
        <f t="shared" si="1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21"/>
        <v>0</v>
      </c>
      <c r="F63" s="55">
        <f t="shared" si="22"/>
        <v>0</v>
      </c>
      <c r="G63" s="355">
        <f t="shared" si="23"/>
        <v>0</v>
      </c>
      <c r="H63" s="336">
        <f t="shared" si="24"/>
        <v>0</v>
      </c>
      <c r="I63" s="52">
        <f t="shared" si="5"/>
        <v>0</v>
      </c>
      <c r="J63" s="52"/>
      <c r="K63" s="115"/>
      <c r="L63" s="54">
        <f t="shared" si="1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21"/>
        <v>0</v>
      </c>
      <c r="F64" s="55">
        <f t="shared" si="22"/>
        <v>0</v>
      </c>
      <c r="G64" s="355">
        <f t="shared" si="23"/>
        <v>0</v>
      </c>
      <c r="H64" s="336">
        <f t="shared" si="24"/>
        <v>0</v>
      </c>
      <c r="I64" s="52">
        <f t="shared" si="5"/>
        <v>0</v>
      </c>
      <c r="J64" s="52"/>
      <c r="K64" s="115"/>
      <c r="L64" s="54">
        <f t="shared" si="1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21"/>
        <v>0</v>
      </c>
      <c r="F65" s="55">
        <f t="shared" si="22"/>
        <v>0</v>
      </c>
      <c r="G65" s="355">
        <f t="shared" si="23"/>
        <v>0</v>
      </c>
      <c r="H65" s="336">
        <f t="shared" si="24"/>
        <v>0</v>
      </c>
      <c r="I65" s="52">
        <f t="shared" si="5"/>
        <v>0</v>
      </c>
      <c r="J65" s="52"/>
      <c r="K65" s="115"/>
      <c r="L65" s="54">
        <f t="shared" si="1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21"/>
        <v>0</v>
      </c>
      <c r="F66" s="55">
        <f t="shared" si="22"/>
        <v>0</v>
      </c>
      <c r="G66" s="355">
        <f t="shared" si="23"/>
        <v>0</v>
      </c>
      <c r="H66" s="336">
        <f t="shared" si="24"/>
        <v>0</v>
      </c>
      <c r="I66" s="52">
        <f t="shared" si="5"/>
        <v>0</v>
      </c>
      <c r="J66" s="52"/>
      <c r="K66" s="115"/>
      <c r="L66" s="54">
        <f t="shared" si="1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21"/>
        <v>0</v>
      </c>
      <c r="F67" s="55">
        <f t="shared" si="22"/>
        <v>0</v>
      </c>
      <c r="G67" s="355">
        <f t="shared" si="23"/>
        <v>0</v>
      </c>
      <c r="H67" s="336">
        <f t="shared" si="24"/>
        <v>0</v>
      </c>
      <c r="I67" s="52">
        <f t="shared" si="5"/>
        <v>0</v>
      </c>
      <c r="J67" s="52"/>
      <c r="K67" s="115"/>
      <c r="L67" s="54">
        <f t="shared" si="1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21"/>
        <v>0</v>
      </c>
      <c r="F68" s="55">
        <f t="shared" si="22"/>
        <v>0</v>
      </c>
      <c r="G68" s="355">
        <f t="shared" si="23"/>
        <v>0</v>
      </c>
      <c r="H68" s="336">
        <f t="shared" si="24"/>
        <v>0</v>
      </c>
      <c r="I68" s="52">
        <f t="shared" si="5"/>
        <v>0</v>
      </c>
      <c r="J68" s="52"/>
      <c r="K68" s="115"/>
      <c r="L68" s="54">
        <f t="shared" si="1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21"/>
        <v>0</v>
      </c>
      <c r="F69" s="55">
        <f t="shared" si="22"/>
        <v>0</v>
      </c>
      <c r="G69" s="355">
        <f t="shared" si="23"/>
        <v>0</v>
      </c>
      <c r="H69" s="336">
        <f t="shared" si="24"/>
        <v>0</v>
      </c>
      <c r="I69" s="52">
        <f t="shared" si="5"/>
        <v>0</v>
      </c>
      <c r="J69" s="52"/>
      <c r="K69" s="115"/>
      <c r="L69" s="54">
        <f t="shared" si="1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21"/>
        <v>0</v>
      </c>
      <c r="F70" s="55">
        <f t="shared" si="22"/>
        <v>0</v>
      </c>
      <c r="G70" s="355">
        <f t="shared" si="23"/>
        <v>0</v>
      </c>
      <c r="H70" s="336">
        <f t="shared" si="24"/>
        <v>0</v>
      </c>
      <c r="I70" s="52">
        <f t="shared" si="5"/>
        <v>0</v>
      </c>
      <c r="J70" s="52"/>
      <c r="K70" s="115"/>
      <c r="L70" s="54">
        <f t="shared" si="1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21"/>
        <v>0</v>
      </c>
      <c r="F71" s="55">
        <f t="shared" si="22"/>
        <v>0</v>
      </c>
      <c r="G71" s="355">
        <f t="shared" si="23"/>
        <v>0</v>
      </c>
      <c r="H71" s="336">
        <f t="shared" si="24"/>
        <v>0</v>
      </c>
      <c r="I71" s="52">
        <f t="shared" si="5"/>
        <v>0</v>
      </c>
      <c r="J71" s="52"/>
      <c r="K71" s="115"/>
      <c r="L71" s="54">
        <f t="shared" si="1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.5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1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>
      <c r="C73" s="12" t="s">
        <v>77</v>
      </c>
      <c r="D73" s="266"/>
      <c r="E73" s="266">
        <f>SUM(E17:E72)</f>
        <v>1165593.0100000002</v>
      </c>
      <c r="F73" s="266"/>
      <c r="G73" s="266">
        <f>SUM(G17:G72)</f>
        <v>3742586.8773197634</v>
      </c>
      <c r="H73" s="266">
        <f>SUM(H17:H72)</f>
        <v>3742586.8773197634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23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136933.15601544653</v>
      </c>
      <c r="N87" s="364">
        <f>IF(J92&lt;D11,0,VLOOKUP(J92,C17:O72,11))</f>
        <v>136933.15601544653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145487.54226147279</v>
      </c>
      <c r="N88" s="367">
        <f>IF(J92&lt;D11,0,VLOOKUP(J92,C99:P154,7))</f>
        <v>145487.54226147279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Elk City 138KV Move Load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8554.3862460262608</v>
      </c>
      <c r="N89" s="369">
        <f>+N88-N87</f>
        <v>8554.3862460262608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TP2011110</v>
      </c>
      <c r="E91" s="74" t="str">
        <f>E9</f>
        <v xml:space="preserve">  SPP Project ID = 31005</v>
      </c>
      <c r="F91" s="74"/>
      <c r="G91" s="74"/>
      <c r="H91" s="74"/>
      <c r="I91" s="74"/>
      <c r="J91" s="74"/>
    </row>
    <row r="92" spans="1:16">
      <c r="C92" s="128" t="s">
        <v>226</v>
      </c>
      <c r="D92" s="372">
        <v>1165593.0099999998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D11</f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D12</f>
        <v>5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31503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2018</v>
      </c>
      <c r="D99" s="411">
        <v>0</v>
      </c>
      <c r="E99" s="432">
        <v>20674.5</v>
      </c>
      <c r="F99" s="411">
        <v>1757325.5</v>
      </c>
      <c r="G99" s="432">
        <v>878662.75</v>
      </c>
      <c r="H99" s="414">
        <v>110944.41567094853</v>
      </c>
      <c r="I99" s="431">
        <v>110944.41567094853</v>
      </c>
      <c r="J99" s="54">
        <f>+I99-H99</f>
        <v>0</v>
      </c>
      <c r="K99" s="54"/>
      <c r="L99" s="53">
        <f>+H99</f>
        <v>110944.41567094853</v>
      </c>
      <c r="M99" s="53">
        <f t="shared" ref="M99" si="25">IF(L99&lt;&gt;0,+H99-L99,0)</f>
        <v>0</v>
      </c>
      <c r="N99" s="53">
        <f>+I99</f>
        <v>110944.41567094853</v>
      </c>
      <c r="O99" s="53">
        <f t="shared" ref="O99" si="26">IF(N99&lt;&gt;0,+I99-N99,0)</f>
        <v>0</v>
      </c>
      <c r="P99" s="53">
        <f t="shared" ref="P99" si="27">+O99-M99</f>
        <v>0</v>
      </c>
    </row>
    <row r="100" spans="1:16">
      <c r="B100" s="7" t="str">
        <f>IF(D100=F99,"","IU")</f>
        <v>IU</v>
      </c>
      <c r="C100" s="50">
        <f>IF(D93="","-",+C99+1)</f>
        <v>2019</v>
      </c>
      <c r="D100" s="411">
        <v>1155505.5</v>
      </c>
      <c r="E100" s="412">
        <v>28687</v>
      </c>
      <c r="F100" s="413">
        <v>1126818.5</v>
      </c>
      <c r="G100" s="413">
        <v>1141162</v>
      </c>
      <c r="H100" s="430">
        <v>146356.80823022424</v>
      </c>
      <c r="I100" s="431">
        <v>146356.80823022424</v>
      </c>
      <c r="J100" s="54">
        <f t="shared" ref="J100:J130" si="28">+I100-H100</f>
        <v>0</v>
      </c>
      <c r="K100" s="54"/>
      <c r="L100" s="350">
        <f t="shared" ref="L100:L105" si="29">H100</f>
        <v>146356.80823022424</v>
      </c>
      <c r="M100" s="63">
        <f t="shared" ref="M100:M105" si="30">IF(L100&lt;&gt;0,+H100-L100,0)</f>
        <v>0</v>
      </c>
      <c r="N100" s="350">
        <f t="shared" ref="N100:N105" si="31">I100</f>
        <v>146356.80823022424</v>
      </c>
      <c r="O100" s="54">
        <f t="shared" ref="O100:O130" si="32">IF(N100&lt;&gt;0,+I100-N100,0)</f>
        <v>0</v>
      </c>
      <c r="P100" s="54">
        <f t="shared" ref="P100:P130" si="33">+O100-M100</f>
        <v>0</v>
      </c>
    </row>
    <row r="101" spans="1:16">
      <c r="B101" s="7" t="str">
        <f t="shared" ref="B101:B154" si="34">IF(D101=F100,"","IU")</f>
        <v>IU</v>
      </c>
      <c r="C101" s="50">
        <f>IF(D93="","-",+C100+1)</f>
        <v>2020</v>
      </c>
      <c r="D101" s="411">
        <v>1116231.5</v>
      </c>
      <c r="E101" s="412">
        <v>27107</v>
      </c>
      <c r="F101" s="413">
        <v>1089124.5</v>
      </c>
      <c r="G101" s="413">
        <v>1102678</v>
      </c>
      <c r="H101" s="430">
        <v>154242.74183680658</v>
      </c>
      <c r="I101" s="431">
        <v>154242.74183680658</v>
      </c>
      <c r="J101" s="54">
        <f t="shared" si="28"/>
        <v>0</v>
      </c>
      <c r="K101" s="54"/>
      <c r="L101" s="350">
        <f t="shared" si="29"/>
        <v>154242.74183680658</v>
      </c>
      <c r="M101" s="63">
        <f t="shared" si="30"/>
        <v>0</v>
      </c>
      <c r="N101" s="350">
        <f t="shared" si="31"/>
        <v>154242.74183680658</v>
      </c>
      <c r="O101" s="54">
        <f t="shared" si="32"/>
        <v>0</v>
      </c>
      <c r="P101" s="54">
        <f t="shared" si="33"/>
        <v>0</v>
      </c>
    </row>
    <row r="102" spans="1:16">
      <c r="B102" s="7" t="str">
        <f t="shared" si="34"/>
        <v/>
      </c>
      <c r="C102" s="50">
        <f>IF(D93="","-",+C101+1)</f>
        <v>2021</v>
      </c>
      <c r="D102" s="411">
        <v>1089124.5</v>
      </c>
      <c r="E102" s="412">
        <v>28429</v>
      </c>
      <c r="F102" s="413">
        <v>1060695.5</v>
      </c>
      <c r="G102" s="413">
        <v>1074910</v>
      </c>
      <c r="H102" s="430">
        <v>150746.01115745076</v>
      </c>
      <c r="I102" s="431">
        <v>150746.01115745076</v>
      </c>
      <c r="J102" s="54">
        <f t="shared" si="28"/>
        <v>0</v>
      </c>
      <c r="K102" s="54"/>
      <c r="L102" s="350">
        <f t="shared" si="29"/>
        <v>150746.01115745076</v>
      </c>
      <c r="M102" s="63">
        <f t="shared" si="30"/>
        <v>0</v>
      </c>
      <c r="N102" s="350">
        <f t="shared" si="31"/>
        <v>150746.01115745076</v>
      </c>
      <c r="O102" s="54">
        <f t="shared" si="32"/>
        <v>0</v>
      </c>
      <c r="P102" s="54">
        <f t="shared" si="33"/>
        <v>0</v>
      </c>
    </row>
    <row r="103" spans="1:16">
      <c r="B103" s="7" t="str">
        <f t="shared" si="34"/>
        <v/>
      </c>
      <c r="C103" s="50">
        <f>IF(D93="","-",+C102+1)</f>
        <v>2022</v>
      </c>
      <c r="D103" s="411">
        <v>1060695.5</v>
      </c>
      <c r="E103" s="412">
        <v>29887</v>
      </c>
      <c r="F103" s="413">
        <v>1030808.5</v>
      </c>
      <c r="G103" s="413">
        <v>1045752</v>
      </c>
      <c r="H103" s="430">
        <v>145110.72961001651</v>
      </c>
      <c r="I103" s="431">
        <v>145110.72961001651</v>
      </c>
      <c r="J103" s="54">
        <f t="shared" si="28"/>
        <v>0</v>
      </c>
      <c r="K103" s="54"/>
      <c r="L103" s="350">
        <f t="shared" si="29"/>
        <v>145110.72961001651</v>
      </c>
      <c r="M103" s="63">
        <f t="shared" si="30"/>
        <v>0</v>
      </c>
      <c r="N103" s="350">
        <f t="shared" si="31"/>
        <v>145110.72961001651</v>
      </c>
      <c r="O103" s="54">
        <f t="shared" ref="O103" si="35">IF(N103&lt;&gt;0,+I103-N103,0)</f>
        <v>0</v>
      </c>
      <c r="P103" s="54">
        <f t="shared" ref="P103" si="36">+O103-M103</f>
        <v>0</v>
      </c>
    </row>
    <row r="104" spans="1:16">
      <c r="B104" s="7" t="str">
        <f t="shared" si="34"/>
        <v>IU</v>
      </c>
      <c r="C104" s="50">
        <f>IF(D93="","-",+C103+1)</f>
        <v>2023</v>
      </c>
      <c r="D104" s="411">
        <v>1030808.5099999998</v>
      </c>
      <c r="E104" s="412">
        <v>30674</v>
      </c>
      <c r="F104" s="413">
        <v>1000134.5099999998</v>
      </c>
      <c r="G104" s="413">
        <v>1015471.5099999998</v>
      </c>
      <c r="H104" s="430">
        <v>146668.31804907569</v>
      </c>
      <c r="I104" s="431">
        <v>146668.31804907569</v>
      </c>
      <c r="J104" s="54">
        <f t="shared" si="28"/>
        <v>0</v>
      </c>
      <c r="K104" s="54"/>
      <c r="L104" s="350">
        <f t="shared" si="29"/>
        <v>146668.31804907569</v>
      </c>
      <c r="M104" s="63">
        <f t="shared" si="30"/>
        <v>0</v>
      </c>
      <c r="N104" s="350">
        <f t="shared" si="31"/>
        <v>146668.31804907569</v>
      </c>
      <c r="O104" s="54">
        <f t="shared" ref="O104" si="37">IF(N104&lt;&gt;0,+I104-N104,0)</f>
        <v>0</v>
      </c>
      <c r="P104" s="54">
        <f t="shared" ref="P104" si="38">+O104-M104</f>
        <v>0</v>
      </c>
    </row>
    <row r="105" spans="1:16">
      <c r="B105" s="7" t="str">
        <f t="shared" si="34"/>
        <v/>
      </c>
      <c r="C105" s="50">
        <f>IF(D93="","-",+C104+1)</f>
        <v>2024</v>
      </c>
      <c r="D105" s="411">
        <v>1000134.5099999998</v>
      </c>
      <c r="E105" s="412">
        <v>31503</v>
      </c>
      <c r="F105" s="413">
        <v>968631.50999999978</v>
      </c>
      <c r="G105" s="413">
        <v>984383.00999999978</v>
      </c>
      <c r="H105" s="430">
        <v>163724.05581027508</v>
      </c>
      <c r="I105" s="431">
        <v>163724.05581027508</v>
      </c>
      <c r="J105" s="54">
        <f t="shared" si="28"/>
        <v>0</v>
      </c>
      <c r="K105" s="54"/>
      <c r="L105" s="350">
        <f t="shared" si="29"/>
        <v>163724.05581027508</v>
      </c>
      <c r="M105" s="63">
        <f t="shared" si="30"/>
        <v>0</v>
      </c>
      <c r="N105" s="350">
        <f t="shared" si="31"/>
        <v>163724.05581027508</v>
      </c>
      <c r="O105" s="54">
        <f t="shared" ref="O105" si="39">IF(N105&lt;&gt;0,+I105-N105,0)</f>
        <v>0</v>
      </c>
      <c r="P105" s="54">
        <f t="shared" ref="P105" si="40">+O105-M105</f>
        <v>0</v>
      </c>
    </row>
    <row r="106" spans="1:16">
      <c r="B106" s="7" t="str">
        <f t="shared" si="34"/>
        <v/>
      </c>
      <c r="C106" s="50">
        <f>IF(D93="","-",+C105+1)</f>
        <v>2025</v>
      </c>
      <c r="D106" s="12">
        <f>IF(F105+SUM(E$99:E105)=D$92,F105,D$92-SUM(E$99:E105))</f>
        <v>968631.50999999978</v>
      </c>
      <c r="E106" s="354">
        <f t="shared" ref="E106:E154" si="41">IF(+J$96&lt;F105,J$96,D106)</f>
        <v>31503</v>
      </c>
      <c r="F106" s="55">
        <f t="shared" ref="F106:F154" si="42">+D106-E106</f>
        <v>937128.50999999978</v>
      </c>
      <c r="G106" s="55">
        <f t="shared" ref="G106:G154" si="43">+(F106+D106)/2</f>
        <v>952880.00999999978</v>
      </c>
      <c r="H106" s="355">
        <f t="shared" ref="H106:H153" si="44">(D106+F106)/2*J$94+E106</f>
        <v>145487.54226147279</v>
      </c>
      <c r="I106" s="381">
        <f t="shared" ref="I106:I153" si="45">+J$95*G106+E106</f>
        <v>145487.54226147279</v>
      </c>
      <c r="J106" s="54">
        <f t="shared" si="28"/>
        <v>0</v>
      </c>
      <c r="K106" s="54"/>
      <c r="L106" s="115"/>
      <c r="M106" s="54">
        <f t="shared" ref="M106:M130" si="46">IF(L106&lt;&gt;0,+H106-L106,0)</f>
        <v>0</v>
      </c>
      <c r="N106" s="115"/>
      <c r="O106" s="54">
        <f t="shared" si="32"/>
        <v>0</v>
      </c>
      <c r="P106" s="54">
        <f t="shared" si="33"/>
        <v>0</v>
      </c>
    </row>
    <row r="107" spans="1:16">
      <c r="B107" s="7" t="str">
        <f t="shared" si="34"/>
        <v/>
      </c>
      <c r="C107" s="50">
        <f>IF(D93="","-",+C106+1)</f>
        <v>2026</v>
      </c>
      <c r="D107" s="12">
        <f>IF(F106+SUM(E$99:E106)=D$92,F106,D$92-SUM(E$99:E106))</f>
        <v>937128.50999999978</v>
      </c>
      <c r="E107" s="354">
        <f t="shared" si="41"/>
        <v>31503</v>
      </c>
      <c r="F107" s="55">
        <f t="shared" si="42"/>
        <v>905625.50999999978</v>
      </c>
      <c r="G107" s="55">
        <f t="shared" si="43"/>
        <v>921377.00999999978</v>
      </c>
      <c r="H107" s="355">
        <f t="shared" si="44"/>
        <v>141719.1191681358</v>
      </c>
      <c r="I107" s="381">
        <f t="shared" si="45"/>
        <v>141719.1191681358</v>
      </c>
      <c r="J107" s="54">
        <f t="shared" si="28"/>
        <v>0</v>
      </c>
      <c r="K107" s="54"/>
      <c r="L107" s="115"/>
      <c r="M107" s="54">
        <f t="shared" si="46"/>
        <v>0</v>
      </c>
      <c r="N107" s="115"/>
      <c r="O107" s="54">
        <f t="shared" si="32"/>
        <v>0</v>
      </c>
      <c r="P107" s="54">
        <f t="shared" si="33"/>
        <v>0</v>
      </c>
    </row>
    <row r="108" spans="1:16">
      <c r="B108" s="7" t="str">
        <f t="shared" si="34"/>
        <v/>
      </c>
      <c r="C108" s="50">
        <f>IF(D93="","-",+C107+1)</f>
        <v>2027</v>
      </c>
      <c r="D108" s="12">
        <f>IF(F107+SUM(E$99:E107)=D$92,F107,D$92-SUM(E$99:E107))</f>
        <v>905625.50999999978</v>
      </c>
      <c r="E108" s="354">
        <f t="shared" si="41"/>
        <v>31503</v>
      </c>
      <c r="F108" s="55">
        <f t="shared" si="42"/>
        <v>874122.50999999978</v>
      </c>
      <c r="G108" s="55">
        <f t="shared" si="43"/>
        <v>889874.00999999978</v>
      </c>
      <c r="H108" s="355">
        <f t="shared" si="44"/>
        <v>137950.69607479882</v>
      </c>
      <c r="I108" s="381">
        <f t="shared" si="45"/>
        <v>137950.69607479882</v>
      </c>
      <c r="J108" s="54">
        <f t="shared" si="28"/>
        <v>0</v>
      </c>
      <c r="K108" s="54"/>
      <c r="L108" s="115"/>
      <c r="M108" s="54">
        <f t="shared" si="46"/>
        <v>0</v>
      </c>
      <c r="N108" s="115"/>
      <c r="O108" s="54">
        <f t="shared" si="32"/>
        <v>0</v>
      </c>
      <c r="P108" s="54">
        <f t="shared" si="33"/>
        <v>0</v>
      </c>
    </row>
    <row r="109" spans="1:16">
      <c r="B109" s="7" t="str">
        <f t="shared" si="34"/>
        <v/>
      </c>
      <c r="C109" s="50">
        <f>IF(D93="","-",+C108+1)</f>
        <v>2028</v>
      </c>
      <c r="D109" s="12">
        <f>IF(F108+SUM(E$99:E108)=D$92,F108,D$92-SUM(E$99:E108))</f>
        <v>874122.50999999978</v>
      </c>
      <c r="E109" s="354">
        <f t="shared" si="41"/>
        <v>31503</v>
      </c>
      <c r="F109" s="55">
        <f t="shared" si="42"/>
        <v>842619.50999999978</v>
      </c>
      <c r="G109" s="55">
        <f t="shared" si="43"/>
        <v>858371.00999999978</v>
      </c>
      <c r="H109" s="355">
        <f t="shared" si="44"/>
        <v>134182.27298146184</v>
      </c>
      <c r="I109" s="381">
        <f t="shared" si="45"/>
        <v>134182.27298146184</v>
      </c>
      <c r="J109" s="54">
        <f t="shared" si="28"/>
        <v>0</v>
      </c>
      <c r="K109" s="54"/>
      <c r="L109" s="115"/>
      <c r="M109" s="54">
        <f t="shared" si="46"/>
        <v>0</v>
      </c>
      <c r="N109" s="115"/>
      <c r="O109" s="54">
        <f t="shared" si="32"/>
        <v>0</v>
      </c>
      <c r="P109" s="54">
        <f t="shared" si="33"/>
        <v>0</v>
      </c>
    </row>
    <row r="110" spans="1:16">
      <c r="B110" s="7" t="str">
        <f t="shared" si="34"/>
        <v/>
      </c>
      <c r="C110" s="50">
        <f>IF(D93="","-",+C109+1)</f>
        <v>2029</v>
      </c>
      <c r="D110" s="12">
        <f>IF(F109+SUM(E$99:E109)=D$92,F109,D$92-SUM(E$99:E109))</f>
        <v>842619.50999999978</v>
      </c>
      <c r="E110" s="354">
        <f t="shared" si="41"/>
        <v>31503</v>
      </c>
      <c r="F110" s="55">
        <f t="shared" si="42"/>
        <v>811116.50999999978</v>
      </c>
      <c r="G110" s="55">
        <f t="shared" si="43"/>
        <v>826868.00999999978</v>
      </c>
      <c r="H110" s="355">
        <f t="shared" si="44"/>
        <v>130413.84988812485</v>
      </c>
      <c r="I110" s="381">
        <f t="shared" si="45"/>
        <v>130413.84988812485</v>
      </c>
      <c r="J110" s="54">
        <f t="shared" si="28"/>
        <v>0</v>
      </c>
      <c r="K110" s="54"/>
      <c r="L110" s="115"/>
      <c r="M110" s="54">
        <f t="shared" si="46"/>
        <v>0</v>
      </c>
      <c r="N110" s="115"/>
      <c r="O110" s="54">
        <f t="shared" si="32"/>
        <v>0</v>
      </c>
      <c r="P110" s="54">
        <f t="shared" si="33"/>
        <v>0</v>
      </c>
    </row>
    <row r="111" spans="1:16">
      <c r="B111" s="7" t="str">
        <f t="shared" si="34"/>
        <v/>
      </c>
      <c r="C111" s="50">
        <f>IF(D93="","-",+C110+1)</f>
        <v>2030</v>
      </c>
      <c r="D111" s="12">
        <f>IF(F110+SUM(E$99:E110)=D$92,F110,D$92-SUM(E$99:E110))</f>
        <v>811116.50999999978</v>
      </c>
      <c r="E111" s="354">
        <f t="shared" si="41"/>
        <v>31503</v>
      </c>
      <c r="F111" s="55">
        <f t="shared" si="42"/>
        <v>779613.50999999978</v>
      </c>
      <c r="G111" s="55">
        <f t="shared" si="43"/>
        <v>795365.00999999978</v>
      </c>
      <c r="H111" s="355">
        <f t="shared" si="44"/>
        <v>126645.42679478785</v>
      </c>
      <c r="I111" s="381">
        <f t="shared" si="45"/>
        <v>126645.42679478785</v>
      </c>
      <c r="J111" s="54">
        <f t="shared" si="28"/>
        <v>0</v>
      </c>
      <c r="K111" s="54"/>
      <c r="L111" s="115"/>
      <c r="M111" s="54">
        <f t="shared" si="46"/>
        <v>0</v>
      </c>
      <c r="N111" s="115"/>
      <c r="O111" s="54">
        <f t="shared" si="32"/>
        <v>0</v>
      </c>
      <c r="P111" s="54">
        <f t="shared" si="33"/>
        <v>0</v>
      </c>
    </row>
    <row r="112" spans="1:16">
      <c r="B112" s="7" t="str">
        <f t="shared" si="34"/>
        <v/>
      </c>
      <c r="C112" s="50">
        <f>IF(D93="","-",+C111+1)</f>
        <v>2031</v>
      </c>
      <c r="D112" s="12">
        <f>IF(F111+SUM(E$99:E111)=D$92,F111,D$92-SUM(E$99:E111))</f>
        <v>779613.50999999978</v>
      </c>
      <c r="E112" s="354">
        <f t="shared" si="41"/>
        <v>31503</v>
      </c>
      <c r="F112" s="55">
        <f t="shared" si="42"/>
        <v>748110.50999999978</v>
      </c>
      <c r="G112" s="55">
        <f t="shared" si="43"/>
        <v>763862.00999999978</v>
      </c>
      <c r="H112" s="355">
        <f t="shared" si="44"/>
        <v>122877.00370145087</v>
      </c>
      <c r="I112" s="381">
        <f t="shared" si="45"/>
        <v>122877.00370145087</v>
      </c>
      <c r="J112" s="54">
        <f t="shared" si="28"/>
        <v>0</v>
      </c>
      <c r="K112" s="54"/>
      <c r="L112" s="115"/>
      <c r="M112" s="54">
        <f t="shared" si="46"/>
        <v>0</v>
      </c>
      <c r="N112" s="115"/>
      <c r="O112" s="54">
        <f t="shared" si="32"/>
        <v>0</v>
      </c>
      <c r="P112" s="54">
        <f t="shared" si="33"/>
        <v>0</v>
      </c>
    </row>
    <row r="113" spans="2:16">
      <c r="B113" s="7" t="str">
        <f t="shared" si="34"/>
        <v/>
      </c>
      <c r="C113" s="50">
        <f>IF(D93="","-",+C112+1)</f>
        <v>2032</v>
      </c>
      <c r="D113" s="12">
        <f>IF(F112+SUM(E$99:E112)=D$92,F112,D$92-SUM(E$99:E112))</f>
        <v>748110.50999999978</v>
      </c>
      <c r="E113" s="354">
        <f t="shared" si="41"/>
        <v>31503</v>
      </c>
      <c r="F113" s="55">
        <f t="shared" si="42"/>
        <v>716607.50999999978</v>
      </c>
      <c r="G113" s="55">
        <f t="shared" si="43"/>
        <v>732359.00999999978</v>
      </c>
      <c r="H113" s="355">
        <f t="shared" si="44"/>
        <v>119108.58060811389</v>
      </c>
      <c r="I113" s="381">
        <f t="shared" si="45"/>
        <v>119108.58060811389</v>
      </c>
      <c r="J113" s="54">
        <f t="shared" si="28"/>
        <v>0</v>
      </c>
      <c r="K113" s="54"/>
      <c r="L113" s="115"/>
      <c r="M113" s="54">
        <f t="shared" si="46"/>
        <v>0</v>
      </c>
      <c r="N113" s="115"/>
      <c r="O113" s="54">
        <f t="shared" si="32"/>
        <v>0</v>
      </c>
      <c r="P113" s="54">
        <f t="shared" si="33"/>
        <v>0</v>
      </c>
    </row>
    <row r="114" spans="2:16">
      <c r="B114" s="7" t="str">
        <f t="shared" si="34"/>
        <v/>
      </c>
      <c r="C114" s="50">
        <f>IF(D93="","-",+C113+1)</f>
        <v>2033</v>
      </c>
      <c r="D114" s="12">
        <f>IF(F113+SUM(E$99:E113)=D$92,F113,D$92-SUM(E$99:E113))</f>
        <v>716607.50999999978</v>
      </c>
      <c r="E114" s="354">
        <f t="shared" si="41"/>
        <v>31503</v>
      </c>
      <c r="F114" s="55">
        <f t="shared" si="42"/>
        <v>685104.50999999978</v>
      </c>
      <c r="G114" s="55">
        <f t="shared" si="43"/>
        <v>700856.00999999978</v>
      </c>
      <c r="H114" s="355">
        <f t="shared" si="44"/>
        <v>115340.1575147769</v>
      </c>
      <c r="I114" s="381">
        <f t="shared" si="45"/>
        <v>115340.1575147769</v>
      </c>
      <c r="J114" s="54">
        <f t="shared" si="28"/>
        <v>0</v>
      </c>
      <c r="K114" s="54"/>
      <c r="L114" s="115"/>
      <c r="M114" s="54">
        <f t="shared" si="46"/>
        <v>0</v>
      </c>
      <c r="N114" s="115"/>
      <c r="O114" s="54">
        <f t="shared" si="32"/>
        <v>0</v>
      </c>
      <c r="P114" s="54">
        <f t="shared" si="33"/>
        <v>0</v>
      </c>
    </row>
    <row r="115" spans="2:16">
      <c r="B115" s="7" t="str">
        <f t="shared" si="34"/>
        <v/>
      </c>
      <c r="C115" s="50">
        <f>IF(D93="","-",+C114+1)</f>
        <v>2034</v>
      </c>
      <c r="D115" s="12">
        <f>IF(F114+SUM(E$99:E114)=D$92,F114,D$92-SUM(E$99:E114))</f>
        <v>685104.50999999978</v>
      </c>
      <c r="E115" s="354">
        <f t="shared" si="41"/>
        <v>31503</v>
      </c>
      <c r="F115" s="55">
        <f t="shared" si="42"/>
        <v>653601.50999999978</v>
      </c>
      <c r="G115" s="55">
        <f t="shared" si="43"/>
        <v>669353.00999999978</v>
      </c>
      <c r="H115" s="355">
        <f t="shared" si="44"/>
        <v>111571.73442143992</v>
      </c>
      <c r="I115" s="381">
        <f t="shared" si="45"/>
        <v>111571.73442143992</v>
      </c>
      <c r="J115" s="54">
        <f t="shared" si="28"/>
        <v>0</v>
      </c>
      <c r="K115" s="54"/>
      <c r="L115" s="115"/>
      <c r="M115" s="54">
        <f t="shared" si="46"/>
        <v>0</v>
      </c>
      <c r="N115" s="115"/>
      <c r="O115" s="54">
        <f t="shared" si="32"/>
        <v>0</v>
      </c>
      <c r="P115" s="54">
        <f t="shared" si="33"/>
        <v>0</v>
      </c>
    </row>
    <row r="116" spans="2:16">
      <c r="B116" s="7" t="str">
        <f t="shared" si="34"/>
        <v/>
      </c>
      <c r="C116" s="50">
        <f>IF(D93="","-",+C115+1)</f>
        <v>2035</v>
      </c>
      <c r="D116" s="12">
        <f>IF(F115+SUM(E$99:E115)=D$92,F115,D$92-SUM(E$99:E115))</f>
        <v>653601.50999999978</v>
      </c>
      <c r="E116" s="354">
        <f t="shared" si="41"/>
        <v>31503</v>
      </c>
      <c r="F116" s="55">
        <f t="shared" si="42"/>
        <v>622098.50999999978</v>
      </c>
      <c r="G116" s="55">
        <f t="shared" si="43"/>
        <v>637850.00999999978</v>
      </c>
      <c r="H116" s="355">
        <f t="shared" si="44"/>
        <v>107803.31132810294</v>
      </c>
      <c r="I116" s="381">
        <f t="shared" si="45"/>
        <v>107803.31132810294</v>
      </c>
      <c r="J116" s="54">
        <f t="shared" si="28"/>
        <v>0</v>
      </c>
      <c r="K116" s="54"/>
      <c r="L116" s="115"/>
      <c r="M116" s="54">
        <f t="shared" si="46"/>
        <v>0</v>
      </c>
      <c r="N116" s="115"/>
      <c r="O116" s="54">
        <f t="shared" si="32"/>
        <v>0</v>
      </c>
      <c r="P116" s="54">
        <f t="shared" si="33"/>
        <v>0</v>
      </c>
    </row>
    <row r="117" spans="2:16">
      <c r="B117" s="7" t="str">
        <f t="shared" si="34"/>
        <v/>
      </c>
      <c r="C117" s="50">
        <f>IF(D93="","-",+C116+1)</f>
        <v>2036</v>
      </c>
      <c r="D117" s="12">
        <f>IF(F116+SUM(E$99:E116)=D$92,F116,D$92-SUM(E$99:E116))</f>
        <v>622098.50999999978</v>
      </c>
      <c r="E117" s="354">
        <f t="shared" si="41"/>
        <v>31503</v>
      </c>
      <c r="F117" s="55">
        <f t="shared" si="42"/>
        <v>590595.50999999978</v>
      </c>
      <c r="G117" s="55">
        <f t="shared" si="43"/>
        <v>606347.00999999978</v>
      </c>
      <c r="H117" s="355">
        <f t="shared" si="44"/>
        <v>104034.88823476594</v>
      </c>
      <c r="I117" s="381">
        <f t="shared" si="45"/>
        <v>104034.88823476594</v>
      </c>
      <c r="J117" s="54">
        <f t="shared" si="28"/>
        <v>0</v>
      </c>
      <c r="K117" s="54"/>
      <c r="L117" s="115"/>
      <c r="M117" s="54">
        <f t="shared" si="46"/>
        <v>0</v>
      </c>
      <c r="N117" s="115"/>
      <c r="O117" s="54">
        <f t="shared" si="32"/>
        <v>0</v>
      </c>
      <c r="P117" s="54">
        <f t="shared" si="33"/>
        <v>0</v>
      </c>
    </row>
    <row r="118" spans="2:16">
      <c r="B118" s="7" t="str">
        <f t="shared" si="34"/>
        <v/>
      </c>
      <c r="C118" s="50">
        <f>IF(D93="","-",+C117+1)</f>
        <v>2037</v>
      </c>
      <c r="D118" s="12">
        <f>IF(F117+SUM(E$99:E117)=D$92,F117,D$92-SUM(E$99:E117))</f>
        <v>590595.50999999978</v>
      </c>
      <c r="E118" s="354">
        <f t="shared" si="41"/>
        <v>31503</v>
      </c>
      <c r="F118" s="55">
        <f t="shared" si="42"/>
        <v>559092.50999999978</v>
      </c>
      <c r="G118" s="55">
        <f t="shared" si="43"/>
        <v>574844.00999999978</v>
      </c>
      <c r="H118" s="355">
        <f t="shared" si="44"/>
        <v>100266.46514142895</v>
      </c>
      <c r="I118" s="381">
        <f t="shared" si="45"/>
        <v>100266.46514142895</v>
      </c>
      <c r="J118" s="54">
        <f t="shared" si="28"/>
        <v>0</v>
      </c>
      <c r="K118" s="54"/>
      <c r="L118" s="115"/>
      <c r="M118" s="54">
        <f t="shared" si="46"/>
        <v>0</v>
      </c>
      <c r="N118" s="115"/>
      <c r="O118" s="54">
        <f t="shared" si="32"/>
        <v>0</v>
      </c>
      <c r="P118" s="54">
        <f t="shared" si="33"/>
        <v>0</v>
      </c>
    </row>
    <row r="119" spans="2:16">
      <c r="B119" s="7" t="str">
        <f t="shared" si="34"/>
        <v/>
      </c>
      <c r="C119" s="50">
        <f>IF(D93="","-",+C118+1)</f>
        <v>2038</v>
      </c>
      <c r="D119" s="12">
        <f>IF(F118+SUM(E$99:E118)=D$92,F118,D$92-SUM(E$99:E118))</f>
        <v>559092.50999999978</v>
      </c>
      <c r="E119" s="354">
        <f t="shared" si="41"/>
        <v>31503</v>
      </c>
      <c r="F119" s="55">
        <f t="shared" si="42"/>
        <v>527589.50999999978</v>
      </c>
      <c r="G119" s="55">
        <f t="shared" si="43"/>
        <v>543341.00999999978</v>
      </c>
      <c r="H119" s="355">
        <f t="shared" si="44"/>
        <v>96498.042048091971</v>
      </c>
      <c r="I119" s="381">
        <f t="shared" si="45"/>
        <v>96498.042048091971</v>
      </c>
      <c r="J119" s="54">
        <f t="shared" si="28"/>
        <v>0</v>
      </c>
      <c r="K119" s="54"/>
      <c r="L119" s="115"/>
      <c r="M119" s="54">
        <f t="shared" si="46"/>
        <v>0</v>
      </c>
      <c r="N119" s="115"/>
      <c r="O119" s="54">
        <f t="shared" si="32"/>
        <v>0</v>
      </c>
      <c r="P119" s="54">
        <f t="shared" si="33"/>
        <v>0</v>
      </c>
    </row>
    <row r="120" spans="2:16">
      <c r="B120" s="7" t="str">
        <f t="shared" si="34"/>
        <v/>
      </c>
      <c r="C120" s="50">
        <f>IF(D93="","-",+C119+1)</f>
        <v>2039</v>
      </c>
      <c r="D120" s="12">
        <f>IF(F119+SUM(E$99:E119)=D$92,F119,D$92-SUM(E$99:E119))</f>
        <v>527589.50999999978</v>
      </c>
      <c r="E120" s="354">
        <f t="shared" si="41"/>
        <v>31503</v>
      </c>
      <c r="F120" s="55">
        <f t="shared" si="42"/>
        <v>496086.50999999978</v>
      </c>
      <c r="G120" s="55">
        <f t="shared" si="43"/>
        <v>511838.00999999978</v>
      </c>
      <c r="H120" s="355">
        <f t="shared" si="44"/>
        <v>92729.618954754987</v>
      </c>
      <c r="I120" s="381">
        <f t="shared" si="45"/>
        <v>92729.618954754987</v>
      </c>
      <c r="J120" s="54">
        <f t="shared" si="28"/>
        <v>0</v>
      </c>
      <c r="K120" s="54"/>
      <c r="L120" s="115"/>
      <c r="M120" s="54">
        <f t="shared" si="46"/>
        <v>0</v>
      </c>
      <c r="N120" s="115"/>
      <c r="O120" s="54">
        <f t="shared" si="32"/>
        <v>0</v>
      </c>
      <c r="P120" s="54">
        <f t="shared" si="33"/>
        <v>0</v>
      </c>
    </row>
    <row r="121" spans="2:16">
      <c r="B121" s="7" t="str">
        <f t="shared" si="34"/>
        <v/>
      </c>
      <c r="C121" s="50">
        <f>IF(D93="","-",+C120+1)</f>
        <v>2040</v>
      </c>
      <c r="D121" s="12">
        <f>IF(F120+SUM(E$99:E120)=D$92,F120,D$92-SUM(E$99:E120))</f>
        <v>496086.50999999978</v>
      </c>
      <c r="E121" s="354">
        <f t="shared" si="41"/>
        <v>31503</v>
      </c>
      <c r="F121" s="55">
        <f t="shared" si="42"/>
        <v>464583.50999999978</v>
      </c>
      <c r="G121" s="55">
        <f t="shared" si="43"/>
        <v>480335.00999999978</v>
      </c>
      <c r="H121" s="355">
        <f t="shared" si="44"/>
        <v>88961.195861418004</v>
      </c>
      <c r="I121" s="381">
        <f t="shared" si="45"/>
        <v>88961.195861418004</v>
      </c>
      <c r="J121" s="54">
        <f t="shared" si="28"/>
        <v>0</v>
      </c>
      <c r="K121" s="54"/>
      <c r="L121" s="115"/>
      <c r="M121" s="54">
        <f t="shared" si="46"/>
        <v>0</v>
      </c>
      <c r="N121" s="115"/>
      <c r="O121" s="54">
        <f t="shared" si="32"/>
        <v>0</v>
      </c>
      <c r="P121" s="54">
        <f t="shared" si="33"/>
        <v>0</v>
      </c>
    </row>
    <row r="122" spans="2:16">
      <c r="B122" s="7" t="str">
        <f t="shared" si="34"/>
        <v/>
      </c>
      <c r="C122" s="50">
        <f>IF(D93="","-",+C121+1)</f>
        <v>2041</v>
      </c>
      <c r="D122" s="12">
        <f>IF(F121+SUM(E$99:E121)=D$92,F121,D$92-SUM(E$99:E121))</f>
        <v>464583.50999999978</v>
      </c>
      <c r="E122" s="354">
        <f t="shared" si="41"/>
        <v>31503</v>
      </c>
      <c r="F122" s="55">
        <f t="shared" si="42"/>
        <v>433080.50999999978</v>
      </c>
      <c r="G122" s="55">
        <f t="shared" si="43"/>
        <v>448832.00999999978</v>
      </c>
      <c r="H122" s="355">
        <f t="shared" si="44"/>
        <v>85192.77276808102</v>
      </c>
      <c r="I122" s="381">
        <f t="shared" si="45"/>
        <v>85192.77276808102</v>
      </c>
      <c r="J122" s="54">
        <f t="shared" si="28"/>
        <v>0</v>
      </c>
      <c r="K122" s="54"/>
      <c r="L122" s="115"/>
      <c r="M122" s="54">
        <f t="shared" si="46"/>
        <v>0</v>
      </c>
      <c r="N122" s="115"/>
      <c r="O122" s="54">
        <f t="shared" si="32"/>
        <v>0</v>
      </c>
      <c r="P122" s="54">
        <f t="shared" si="33"/>
        <v>0</v>
      </c>
    </row>
    <row r="123" spans="2:16">
      <c r="B123" s="7" t="str">
        <f t="shared" si="34"/>
        <v/>
      </c>
      <c r="C123" s="50">
        <f>IF(D93="","-",+C122+1)</f>
        <v>2042</v>
      </c>
      <c r="D123" s="12">
        <f>IF(F122+SUM(E$99:E122)=D$92,F122,D$92-SUM(E$99:E122))</f>
        <v>433080.50999999978</v>
      </c>
      <c r="E123" s="354">
        <f t="shared" si="41"/>
        <v>31503</v>
      </c>
      <c r="F123" s="55">
        <f t="shared" si="42"/>
        <v>401577.50999999978</v>
      </c>
      <c r="G123" s="55">
        <f t="shared" si="43"/>
        <v>417329.00999999978</v>
      </c>
      <c r="H123" s="355">
        <f t="shared" si="44"/>
        <v>81424.349674744037</v>
      </c>
      <c r="I123" s="381">
        <f t="shared" si="45"/>
        <v>81424.349674744037</v>
      </c>
      <c r="J123" s="54">
        <f t="shared" si="28"/>
        <v>0</v>
      </c>
      <c r="K123" s="54"/>
      <c r="L123" s="115"/>
      <c r="M123" s="54">
        <f t="shared" si="46"/>
        <v>0</v>
      </c>
      <c r="N123" s="115"/>
      <c r="O123" s="54">
        <f t="shared" si="32"/>
        <v>0</v>
      </c>
      <c r="P123" s="54">
        <f t="shared" si="33"/>
        <v>0</v>
      </c>
    </row>
    <row r="124" spans="2:16">
      <c r="B124" s="7" t="str">
        <f t="shared" si="34"/>
        <v/>
      </c>
      <c r="C124" s="50">
        <f>IF(D93="","-",+C123+1)</f>
        <v>2043</v>
      </c>
      <c r="D124" s="12">
        <f>IF(F123+SUM(E$99:E123)=D$92,F123,D$92-SUM(E$99:E123))</f>
        <v>401577.50999999978</v>
      </c>
      <c r="E124" s="354">
        <f t="shared" si="41"/>
        <v>31503</v>
      </c>
      <c r="F124" s="55">
        <f t="shared" si="42"/>
        <v>370074.50999999978</v>
      </c>
      <c r="G124" s="55">
        <f t="shared" si="43"/>
        <v>385826.00999999978</v>
      </c>
      <c r="H124" s="355">
        <f t="shared" si="44"/>
        <v>77655.926581407053</v>
      </c>
      <c r="I124" s="381">
        <f t="shared" si="45"/>
        <v>77655.926581407053</v>
      </c>
      <c r="J124" s="54">
        <f t="shared" si="28"/>
        <v>0</v>
      </c>
      <c r="K124" s="54"/>
      <c r="L124" s="115"/>
      <c r="M124" s="54">
        <f t="shared" si="46"/>
        <v>0</v>
      </c>
      <c r="N124" s="115"/>
      <c r="O124" s="54">
        <f t="shared" si="32"/>
        <v>0</v>
      </c>
      <c r="P124" s="54">
        <f t="shared" si="33"/>
        <v>0</v>
      </c>
    </row>
    <row r="125" spans="2:16">
      <c r="B125" s="7" t="str">
        <f t="shared" si="34"/>
        <v/>
      </c>
      <c r="C125" s="50">
        <f>IF(D93="","-",+C124+1)</f>
        <v>2044</v>
      </c>
      <c r="D125" s="12">
        <f>IF(F124+SUM(E$99:E124)=D$92,F124,D$92-SUM(E$99:E124))</f>
        <v>370074.50999999978</v>
      </c>
      <c r="E125" s="354">
        <f t="shared" si="41"/>
        <v>31503</v>
      </c>
      <c r="F125" s="55">
        <f t="shared" si="42"/>
        <v>338571.50999999978</v>
      </c>
      <c r="G125" s="55">
        <f t="shared" si="43"/>
        <v>354323.00999999978</v>
      </c>
      <c r="H125" s="355">
        <f t="shared" si="44"/>
        <v>73887.503488070055</v>
      </c>
      <c r="I125" s="381">
        <f t="shared" si="45"/>
        <v>73887.503488070055</v>
      </c>
      <c r="J125" s="54">
        <f t="shared" si="28"/>
        <v>0</v>
      </c>
      <c r="K125" s="54"/>
      <c r="L125" s="115"/>
      <c r="M125" s="54">
        <f t="shared" si="46"/>
        <v>0</v>
      </c>
      <c r="N125" s="115"/>
      <c r="O125" s="54">
        <f t="shared" si="32"/>
        <v>0</v>
      </c>
      <c r="P125" s="54">
        <f t="shared" si="33"/>
        <v>0</v>
      </c>
    </row>
    <row r="126" spans="2:16">
      <c r="B126" s="7" t="str">
        <f t="shared" si="34"/>
        <v/>
      </c>
      <c r="C126" s="50">
        <f>IF(D93="","-",+C125+1)</f>
        <v>2045</v>
      </c>
      <c r="D126" s="12">
        <f>IF(F125+SUM(E$99:E125)=D$92,F125,D$92-SUM(E$99:E125))</f>
        <v>338571.50999999978</v>
      </c>
      <c r="E126" s="354">
        <f t="shared" si="41"/>
        <v>31503</v>
      </c>
      <c r="F126" s="55">
        <f t="shared" si="42"/>
        <v>307068.50999999978</v>
      </c>
      <c r="G126" s="55">
        <f t="shared" si="43"/>
        <v>322820.00999999978</v>
      </c>
      <c r="H126" s="355">
        <f t="shared" si="44"/>
        <v>70119.080394733071</v>
      </c>
      <c r="I126" s="381">
        <f t="shared" si="45"/>
        <v>70119.080394733071</v>
      </c>
      <c r="J126" s="54">
        <f t="shared" si="28"/>
        <v>0</v>
      </c>
      <c r="K126" s="54"/>
      <c r="L126" s="115"/>
      <c r="M126" s="54">
        <f t="shared" si="46"/>
        <v>0</v>
      </c>
      <c r="N126" s="115"/>
      <c r="O126" s="54">
        <f t="shared" si="32"/>
        <v>0</v>
      </c>
      <c r="P126" s="54">
        <f t="shared" si="33"/>
        <v>0</v>
      </c>
    </row>
    <row r="127" spans="2:16">
      <c r="B127" s="7" t="str">
        <f t="shared" si="34"/>
        <v/>
      </c>
      <c r="C127" s="50">
        <f>IF(D93="","-",+C126+1)</f>
        <v>2046</v>
      </c>
      <c r="D127" s="12">
        <f>IF(F126+SUM(E$99:E126)=D$92,F126,D$92-SUM(E$99:E126))</f>
        <v>307068.50999999978</v>
      </c>
      <c r="E127" s="354">
        <f t="shared" si="41"/>
        <v>31503</v>
      </c>
      <c r="F127" s="55">
        <f t="shared" si="42"/>
        <v>275565.50999999978</v>
      </c>
      <c r="G127" s="55">
        <f t="shared" si="43"/>
        <v>291317.00999999978</v>
      </c>
      <c r="H127" s="355">
        <f t="shared" si="44"/>
        <v>66350.657301396088</v>
      </c>
      <c r="I127" s="381">
        <f t="shared" si="45"/>
        <v>66350.657301396088</v>
      </c>
      <c r="J127" s="54">
        <f t="shared" si="28"/>
        <v>0</v>
      </c>
      <c r="K127" s="54"/>
      <c r="L127" s="115"/>
      <c r="M127" s="54">
        <f t="shared" si="46"/>
        <v>0</v>
      </c>
      <c r="N127" s="115"/>
      <c r="O127" s="54">
        <f t="shared" si="32"/>
        <v>0</v>
      </c>
      <c r="P127" s="54">
        <f t="shared" si="33"/>
        <v>0</v>
      </c>
    </row>
    <row r="128" spans="2:16">
      <c r="B128" s="7" t="str">
        <f t="shared" si="34"/>
        <v/>
      </c>
      <c r="C128" s="50">
        <f>IF(D93="","-",+C127+1)</f>
        <v>2047</v>
      </c>
      <c r="D128" s="12">
        <f>IF(F127+SUM(E$99:E127)=D$92,F127,D$92-SUM(E$99:E127))</f>
        <v>275565.50999999978</v>
      </c>
      <c r="E128" s="354">
        <f t="shared" si="41"/>
        <v>31503</v>
      </c>
      <c r="F128" s="55">
        <f t="shared" si="42"/>
        <v>244062.50999999978</v>
      </c>
      <c r="G128" s="55">
        <f t="shared" si="43"/>
        <v>259814.00999999978</v>
      </c>
      <c r="H128" s="355">
        <f t="shared" si="44"/>
        <v>62582.234208059097</v>
      </c>
      <c r="I128" s="381">
        <f t="shared" si="45"/>
        <v>62582.234208059097</v>
      </c>
      <c r="J128" s="54">
        <f t="shared" si="28"/>
        <v>0</v>
      </c>
      <c r="K128" s="54"/>
      <c r="L128" s="115"/>
      <c r="M128" s="54">
        <f t="shared" si="46"/>
        <v>0</v>
      </c>
      <c r="N128" s="115"/>
      <c r="O128" s="54">
        <f t="shared" si="32"/>
        <v>0</v>
      </c>
      <c r="P128" s="54">
        <f t="shared" si="33"/>
        <v>0</v>
      </c>
    </row>
    <row r="129" spans="2:16">
      <c r="B129" s="7" t="str">
        <f t="shared" si="34"/>
        <v/>
      </c>
      <c r="C129" s="50">
        <f>IF(D93="","-",+C128+1)</f>
        <v>2048</v>
      </c>
      <c r="D129" s="12">
        <f>IF(F128+SUM(E$99:E128)=D$92,F128,D$92-SUM(E$99:E128))</f>
        <v>244062.50999999978</v>
      </c>
      <c r="E129" s="354">
        <f t="shared" si="41"/>
        <v>31503</v>
      </c>
      <c r="F129" s="55">
        <f t="shared" si="42"/>
        <v>212559.50999999978</v>
      </c>
      <c r="G129" s="55">
        <f t="shared" si="43"/>
        <v>228311.00999999978</v>
      </c>
      <c r="H129" s="355">
        <f t="shared" si="44"/>
        <v>58813.811114722113</v>
      </c>
      <c r="I129" s="381">
        <f t="shared" si="45"/>
        <v>58813.811114722113</v>
      </c>
      <c r="J129" s="54">
        <f t="shared" si="28"/>
        <v>0</v>
      </c>
      <c r="K129" s="54"/>
      <c r="L129" s="115"/>
      <c r="M129" s="54">
        <f t="shared" si="46"/>
        <v>0</v>
      </c>
      <c r="N129" s="115"/>
      <c r="O129" s="54">
        <f t="shared" si="32"/>
        <v>0</v>
      </c>
      <c r="P129" s="54">
        <f t="shared" si="33"/>
        <v>0</v>
      </c>
    </row>
    <row r="130" spans="2:16">
      <c r="B130" s="7" t="str">
        <f t="shared" si="34"/>
        <v/>
      </c>
      <c r="C130" s="50">
        <f>IF(D93="","-",+C129+1)</f>
        <v>2049</v>
      </c>
      <c r="D130" s="12">
        <f>IF(F129+SUM(E$99:E129)=D$92,F129,D$92-SUM(E$99:E129))</f>
        <v>212559.50999999978</v>
      </c>
      <c r="E130" s="354">
        <f t="shared" si="41"/>
        <v>31503</v>
      </c>
      <c r="F130" s="55">
        <f t="shared" si="42"/>
        <v>181056.50999999978</v>
      </c>
      <c r="G130" s="55">
        <f t="shared" si="43"/>
        <v>196808.00999999978</v>
      </c>
      <c r="H130" s="355">
        <f t="shared" si="44"/>
        <v>55045.388021385123</v>
      </c>
      <c r="I130" s="381">
        <f t="shared" si="45"/>
        <v>55045.388021385123</v>
      </c>
      <c r="J130" s="54">
        <f t="shared" si="28"/>
        <v>0</v>
      </c>
      <c r="K130" s="54"/>
      <c r="L130" s="115"/>
      <c r="M130" s="54">
        <f t="shared" si="46"/>
        <v>0</v>
      </c>
      <c r="N130" s="115"/>
      <c r="O130" s="54">
        <f t="shared" si="32"/>
        <v>0</v>
      </c>
      <c r="P130" s="54">
        <f t="shared" si="33"/>
        <v>0</v>
      </c>
    </row>
    <row r="131" spans="2:16">
      <c r="B131" s="7" t="str">
        <f t="shared" si="34"/>
        <v/>
      </c>
      <c r="C131" s="50">
        <f>IF(D93="","-",+C130+1)</f>
        <v>2050</v>
      </c>
      <c r="D131" s="12">
        <f>IF(F130+SUM(E$99:E130)=D$92,F130,D$92-SUM(E$99:E130))</f>
        <v>181056.50999999978</v>
      </c>
      <c r="E131" s="354">
        <f t="shared" si="41"/>
        <v>31503</v>
      </c>
      <c r="F131" s="55">
        <f t="shared" si="42"/>
        <v>149553.50999999978</v>
      </c>
      <c r="G131" s="55">
        <f t="shared" si="43"/>
        <v>165305.00999999978</v>
      </c>
      <c r="H131" s="355">
        <f t="shared" si="44"/>
        <v>51276.964928048139</v>
      </c>
      <c r="I131" s="381">
        <f t="shared" si="45"/>
        <v>51276.964928048139</v>
      </c>
      <c r="J131" s="54">
        <f t="shared" ref="J131:J154" si="47">+I541-H541</f>
        <v>0</v>
      </c>
      <c r="K131" s="54"/>
      <c r="L131" s="115"/>
      <c r="M131" s="54">
        <f t="shared" ref="M131:M154" si="48">IF(L541&lt;&gt;0,+H541-L541,0)</f>
        <v>0</v>
      </c>
      <c r="N131" s="115"/>
      <c r="O131" s="54">
        <f t="shared" ref="O131:O154" si="49">IF(N541&lt;&gt;0,+I541-N541,0)</f>
        <v>0</v>
      </c>
      <c r="P131" s="54">
        <f t="shared" ref="P131:P154" si="50">+O541-M541</f>
        <v>0</v>
      </c>
    </row>
    <row r="132" spans="2:16">
      <c r="B132" s="7" t="str">
        <f t="shared" si="34"/>
        <v/>
      </c>
      <c r="C132" s="50">
        <f>IF(D93="","-",+C131+1)</f>
        <v>2051</v>
      </c>
      <c r="D132" s="12">
        <f>IF(F131+SUM(E$99:E131)=D$92,F131,D$92-SUM(E$99:E131))</f>
        <v>149553.50999999978</v>
      </c>
      <c r="E132" s="354">
        <f t="shared" si="41"/>
        <v>31503</v>
      </c>
      <c r="F132" s="55">
        <f t="shared" si="42"/>
        <v>118050.50999999978</v>
      </c>
      <c r="G132" s="55">
        <f t="shared" si="43"/>
        <v>133802.00999999978</v>
      </c>
      <c r="H132" s="355">
        <f t="shared" si="44"/>
        <v>47508.541834711155</v>
      </c>
      <c r="I132" s="381">
        <f t="shared" si="45"/>
        <v>47508.541834711155</v>
      </c>
      <c r="J132" s="54">
        <f t="shared" si="47"/>
        <v>0</v>
      </c>
      <c r="K132" s="54"/>
      <c r="L132" s="115"/>
      <c r="M132" s="54">
        <f t="shared" si="48"/>
        <v>0</v>
      </c>
      <c r="N132" s="115"/>
      <c r="O132" s="54">
        <f t="shared" si="49"/>
        <v>0</v>
      </c>
      <c r="P132" s="54">
        <f t="shared" si="50"/>
        <v>0</v>
      </c>
    </row>
    <row r="133" spans="2:16">
      <c r="B133" s="7" t="str">
        <f t="shared" si="34"/>
        <v/>
      </c>
      <c r="C133" s="50">
        <f>IF(D93="","-",+C132+1)</f>
        <v>2052</v>
      </c>
      <c r="D133" s="12">
        <f>IF(F132+SUM(E$99:E132)=D$92,F132,D$92-SUM(E$99:E132))</f>
        <v>118050.50999999978</v>
      </c>
      <c r="E133" s="354">
        <f t="shared" si="41"/>
        <v>31503</v>
      </c>
      <c r="F133" s="55">
        <f t="shared" si="42"/>
        <v>86547.509999999776</v>
      </c>
      <c r="G133" s="55">
        <f t="shared" si="43"/>
        <v>102299.00999999978</v>
      </c>
      <c r="H133" s="355">
        <f t="shared" si="44"/>
        <v>43740.118741374172</v>
      </c>
      <c r="I133" s="381">
        <f t="shared" si="45"/>
        <v>43740.118741374172</v>
      </c>
      <c r="J133" s="54">
        <f t="shared" si="47"/>
        <v>0</v>
      </c>
      <c r="K133" s="54"/>
      <c r="L133" s="115"/>
      <c r="M133" s="54">
        <f t="shared" si="48"/>
        <v>0</v>
      </c>
      <c r="N133" s="115"/>
      <c r="O133" s="54">
        <f t="shared" si="49"/>
        <v>0</v>
      </c>
      <c r="P133" s="54">
        <f t="shared" si="50"/>
        <v>0</v>
      </c>
    </row>
    <row r="134" spans="2:16">
      <c r="B134" s="7" t="str">
        <f t="shared" si="34"/>
        <v/>
      </c>
      <c r="C134" s="50">
        <f>IF(D93="","-",+C133+1)</f>
        <v>2053</v>
      </c>
      <c r="D134" s="12">
        <f>IF(F133+SUM(E$99:E133)=D$92,F133,D$92-SUM(E$99:E133))</f>
        <v>86547.509999999776</v>
      </c>
      <c r="E134" s="354">
        <f t="shared" si="41"/>
        <v>31503</v>
      </c>
      <c r="F134" s="55">
        <f t="shared" si="42"/>
        <v>55044.509999999776</v>
      </c>
      <c r="G134" s="55">
        <f t="shared" si="43"/>
        <v>70796.009999999776</v>
      </c>
      <c r="H134" s="355">
        <f t="shared" si="44"/>
        <v>39971.695648037181</v>
      </c>
      <c r="I134" s="381">
        <f t="shared" si="45"/>
        <v>39971.695648037181</v>
      </c>
      <c r="J134" s="54">
        <f t="shared" si="47"/>
        <v>0</v>
      </c>
      <c r="K134" s="54"/>
      <c r="L134" s="115"/>
      <c r="M134" s="54">
        <f t="shared" si="48"/>
        <v>0</v>
      </c>
      <c r="N134" s="115"/>
      <c r="O134" s="54">
        <f t="shared" si="49"/>
        <v>0</v>
      </c>
      <c r="P134" s="54">
        <f t="shared" si="50"/>
        <v>0</v>
      </c>
    </row>
    <row r="135" spans="2:16">
      <c r="B135" s="7" t="str">
        <f t="shared" si="34"/>
        <v/>
      </c>
      <c r="C135" s="50">
        <f>IF(D93="","-",+C134+1)</f>
        <v>2054</v>
      </c>
      <c r="D135" s="12">
        <f>IF(F134+SUM(E$99:E134)=D$92,F134,D$92-SUM(E$99:E134))</f>
        <v>55044.509999999776</v>
      </c>
      <c r="E135" s="354">
        <f t="shared" si="41"/>
        <v>31503</v>
      </c>
      <c r="F135" s="55">
        <f t="shared" si="42"/>
        <v>23541.509999999776</v>
      </c>
      <c r="G135" s="55">
        <f t="shared" si="43"/>
        <v>39293.009999999776</v>
      </c>
      <c r="H135" s="355">
        <f t="shared" si="44"/>
        <v>36203.272554700197</v>
      </c>
      <c r="I135" s="381">
        <f t="shared" si="45"/>
        <v>36203.272554700197</v>
      </c>
      <c r="J135" s="54">
        <f t="shared" si="47"/>
        <v>0</v>
      </c>
      <c r="K135" s="54"/>
      <c r="L135" s="115"/>
      <c r="M135" s="54">
        <f t="shared" si="48"/>
        <v>0</v>
      </c>
      <c r="N135" s="115"/>
      <c r="O135" s="54">
        <f t="shared" si="49"/>
        <v>0</v>
      </c>
      <c r="P135" s="54">
        <f t="shared" si="50"/>
        <v>0</v>
      </c>
    </row>
    <row r="136" spans="2:16">
      <c r="B136" s="7" t="str">
        <f t="shared" si="34"/>
        <v/>
      </c>
      <c r="C136" s="50">
        <f>IF(D93="","-",+C135+1)</f>
        <v>2055</v>
      </c>
      <c r="D136" s="12">
        <f>IF(F135+SUM(E$99:E135)=D$92,F135,D$92-SUM(E$99:E135))</f>
        <v>23541.509999999776</v>
      </c>
      <c r="E136" s="354">
        <f t="shared" si="41"/>
        <v>23541.509999999776</v>
      </c>
      <c r="F136" s="55">
        <f t="shared" si="42"/>
        <v>0</v>
      </c>
      <c r="G136" s="55">
        <f t="shared" si="43"/>
        <v>11770.754999999888</v>
      </c>
      <c r="H136" s="355">
        <f t="shared" si="44"/>
        <v>24949.540504015629</v>
      </c>
      <c r="I136" s="381">
        <f t="shared" si="45"/>
        <v>24949.540504015629</v>
      </c>
      <c r="J136" s="54">
        <f t="shared" si="47"/>
        <v>0</v>
      </c>
      <c r="K136" s="54"/>
      <c r="L136" s="115"/>
      <c r="M136" s="54">
        <f t="shared" si="48"/>
        <v>0</v>
      </c>
      <c r="N136" s="115"/>
      <c r="O136" s="54">
        <f t="shared" si="49"/>
        <v>0</v>
      </c>
      <c r="P136" s="54">
        <f t="shared" si="50"/>
        <v>0</v>
      </c>
    </row>
    <row r="137" spans="2:16">
      <c r="B137" s="7" t="str">
        <f t="shared" si="34"/>
        <v/>
      </c>
      <c r="C137" s="50">
        <f>IF(D93="","-",+C136+1)</f>
        <v>2056</v>
      </c>
      <c r="D137" s="12">
        <f>IF(F136+SUM(E$99:E136)=D$92,F136,D$92-SUM(E$99:E136))</f>
        <v>0</v>
      </c>
      <c r="E137" s="354">
        <f t="shared" si="41"/>
        <v>0</v>
      </c>
      <c r="F137" s="55">
        <f t="shared" si="42"/>
        <v>0</v>
      </c>
      <c r="G137" s="55">
        <f t="shared" si="43"/>
        <v>0</v>
      </c>
      <c r="H137" s="355">
        <f t="shared" si="44"/>
        <v>0</v>
      </c>
      <c r="I137" s="381">
        <f t="shared" si="45"/>
        <v>0</v>
      </c>
      <c r="J137" s="54">
        <f t="shared" si="47"/>
        <v>0</v>
      </c>
      <c r="K137" s="54"/>
      <c r="L137" s="115"/>
      <c r="M137" s="54">
        <f t="shared" si="48"/>
        <v>0</v>
      </c>
      <c r="N137" s="115"/>
      <c r="O137" s="54">
        <f t="shared" si="49"/>
        <v>0</v>
      </c>
      <c r="P137" s="54">
        <f t="shared" si="50"/>
        <v>0</v>
      </c>
    </row>
    <row r="138" spans="2:16">
      <c r="B138" s="7" t="str">
        <f t="shared" si="34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41"/>
        <v>0</v>
      </c>
      <c r="F138" s="55">
        <f t="shared" si="42"/>
        <v>0</v>
      </c>
      <c r="G138" s="55">
        <f t="shared" si="43"/>
        <v>0</v>
      </c>
      <c r="H138" s="355">
        <f t="shared" si="44"/>
        <v>0</v>
      </c>
      <c r="I138" s="381">
        <f t="shared" si="45"/>
        <v>0</v>
      </c>
      <c r="J138" s="54">
        <f t="shared" si="47"/>
        <v>0</v>
      </c>
      <c r="K138" s="54"/>
      <c r="L138" s="115"/>
      <c r="M138" s="54">
        <f t="shared" si="48"/>
        <v>0</v>
      </c>
      <c r="N138" s="115"/>
      <c r="O138" s="54">
        <f t="shared" si="49"/>
        <v>0</v>
      </c>
      <c r="P138" s="54">
        <f t="shared" si="50"/>
        <v>0</v>
      </c>
    </row>
    <row r="139" spans="2:16">
      <c r="B139" s="7" t="str">
        <f t="shared" si="34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41"/>
        <v>0</v>
      </c>
      <c r="F139" s="55">
        <f t="shared" si="42"/>
        <v>0</v>
      </c>
      <c r="G139" s="55">
        <f t="shared" si="43"/>
        <v>0</v>
      </c>
      <c r="H139" s="355">
        <f t="shared" si="44"/>
        <v>0</v>
      </c>
      <c r="I139" s="381">
        <f t="shared" si="45"/>
        <v>0</v>
      </c>
      <c r="J139" s="54">
        <f t="shared" si="47"/>
        <v>0</v>
      </c>
      <c r="K139" s="54"/>
      <c r="L139" s="115"/>
      <c r="M139" s="54">
        <f t="shared" si="48"/>
        <v>0</v>
      </c>
      <c r="N139" s="115"/>
      <c r="O139" s="54">
        <f t="shared" si="49"/>
        <v>0</v>
      </c>
      <c r="P139" s="54">
        <f t="shared" si="50"/>
        <v>0</v>
      </c>
    </row>
    <row r="140" spans="2:16">
      <c r="B140" s="7" t="str">
        <f t="shared" si="34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41"/>
        <v>0</v>
      </c>
      <c r="F140" s="55">
        <f t="shared" si="42"/>
        <v>0</v>
      </c>
      <c r="G140" s="55">
        <f t="shared" si="43"/>
        <v>0</v>
      </c>
      <c r="H140" s="355">
        <f t="shared" si="44"/>
        <v>0</v>
      </c>
      <c r="I140" s="381">
        <f t="shared" si="45"/>
        <v>0</v>
      </c>
      <c r="J140" s="54">
        <f t="shared" si="47"/>
        <v>0</v>
      </c>
      <c r="K140" s="54"/>
      <c r="L140" s="115"/>
      <c r="M140" s="54">
        <f t="shared" si="48"/>
        <v>0</v>
      </c>
      <c r="N140" s="115"/>
      <c r="O140" s="54">
        <f t="shared" si="49"/>
        <v>0</v>
      </c>
      <c r="P140" s="54">
        <f t="shared" si="50"/>
        <v>0</v>
      </c>
    </row>
    <row r="141" spans="2:16">
      <c r="B141" s="7" t="str">
        <f t="shared" si="34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41"/>
        <v>0</v>
      </c>
      <c r="F141" s="55">
        <f t="shared" si="42"/>
        <v>0</v>
      </c>
      <c r="G141" s="55">
        <f t="shared" si="43"/>
        <v>0</v>
      </c>
      <c r="H141" s="355">
        <f t="shared" si="44"/>
        <v>0</v>
      </c>
      <c r="I141" s="381">
        <f t="shared" si="45"/>
        <v>0</v>
      </c>
      <c r="J141" s="54">
        <f t="shared" si="47"/>
        <v>0</v>
      </c>
      <c r="K141" s="54"/>
      <c r="L141" s="115"/>
      <c r="M141" s="54">
        <f t="shared" si="48"/>
        <v>0</v>
      </c>
      <c r="N141" s="115"/>
      <c r="O141" s="54">
        <f t="shared" si="49"/>
        <v>0</v>
      </c>
      <c r="P141" s="54">
        <f t="shared" si="50"/>
        <v>0</v>
      </c>
    </row>
    <row r="142" spans="2:16">
      <c r="B142" s="7" t="str">
        <f t="shared" si="34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41"/>
        <v>0</v>
      </c>
      <c r="F142" s="55">
        <f t="shared" si="42"/>
        <v>0</v>
      </c>
      <c r="G142" s="55">
        <f t="shared" si="43"/>
        <v>0</v>
      </c>
      <c r="H142" s="355">
        <f t="shared" si="44"/>
        <v>0</v>
      </c>
      <c r="I142" s="381">
        <f t="shared" si="45"/>
        <v>0</v>
      </c>
      <c r="J142" s="54">
        <f t="shared" si="47"/>
        <v>0</v>
      </c>
      <c r="K142" s="54"/>
      <c r="L142" s="115"/>
      <c r="M142" s="54">
        <f t="shared" si="48"/>
        <v>0</v>
      </c>
      <c r="N142" s="115"/>
      <c r="O142" s="54">
        <f t="shared" si="49"/>
        <v>0</v>
      </c>
      <c r="P142" s="54">
        <f t="shared" si="50"/>
        <v>0</v>
      </c>
    </row>
    <row r="143" spans="2:16">
      <c r="B143" s="7" t="str">
        <f t="shared" si="34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41"/>
        <v>0</v>
      </c>
      <c r="F143" s="55">
        <f t="shared" si="42"/>
        <v>0</v>
      </c>
      <c r="G143" s="55">
        <f t="shared" si="43"/>
        <v>0</v>
      </c>
      <c r="H143" s="355">
        <f t="shared" si="44"/>
        <v>0</v>
      </c>
      <c r="I143" s="381">
        <f t="shared" si="45"/>
        <v>0</v>
      </c>
      <c r="J143" s="54">
        <f t="shared" si="47"/>
        <v>0</v>
      </c>
      <c r="K143" s="54"/>
      <c r="L143" s="115"/>
      <c r="M143" s="54">
        <f t="shared" si="48"/>
        <v>0</v>
      </c>
      <c r="N143" s="115"/>
      <c r="O143" s="54">
        <f t="shared" si="49"/>
        <v>0</v>
      </c>
      <c r="P143" s="54">
        <f t="shared" si="50"/>
        <v>0</v>
      </c>
    </row>
    <row r="144" spans="2:16">
      <c r="B144" s="7" t="str">
        <f t="shared" si="34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41"/>
        <v>0</v>
      </c>
      <c r="F144" s="55">
        <f t="shared" si="42"/>
        <v>0</v>
      </c>
      <c r="G144" s="55">
        <f t="shared" si="43"/>
        <v>0</v>
      </c>
      <c r="H144" s="355">
        <f t="shared" si="44"/>
        <v>0</v>
      </c>
      <c r="I144" s="381">
        <f t="shared" si="45"/>
        <v>0</v>
      </c>
      <c r="J144" s="54">
        <f t="shared" si="47"/>
        <v>0</v>
      </c>
      <c r="K144" s="54"/>
      <c r="L144" s="115"/>
      <c r="M144" s="54">
        <f t="shared" si="48"/>
        <v>0</v>
      </c>
      <c r="N144" s="115"/>
      <c r="O144" s="54">
        <f t="shared" si="49"/>
        <v>0</v>
      </c>
      <c r="P144" s="54">
        <f t="shared" si="50"/>
        <v>0</v>
      </c>
    </row>
    <row r="145" spans="2:16">
      <c r="B145" s="7" t="str">
        <f t="shared" si="34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41"/>
        <v>0</v>
      </c>
      <c r="F145" s="55">
        <f t="shared" si="42"/>
        <v>0</v>
      </c>
      <c r="G145" s="55">
        <f t="shared" si="43"/>
        <v>0</v>
      </c>
      <c r="H145" s="355">
        <f t="shared" si="44"/>
        <v>0</v>
      </c>
      <c r="I145" s="381">
        <f t="shared" si="45"/>
        <v>0</v>
      </c>
      <c r="J145" s="54">
        <f t="shared" si="47"/>
        <v>0</v>
      </c>
      <c r="K145" s="54"/>
      <c r="L145" s="115"/>
      <c r="M145" s="54">
        <f t="shared" si="48"/>
        <v>0</v>
      </c>
      <c r="N145" s="115"/>
      <c r="O145" s="54">
        <f t="shared" si="49"/>
        <v>0</v>
      </c>
      <c r="P145" s="54">
        <f t="shared" si="50"/>
        <v>0</v>
      </c>
    </row>
    <row r="146" spans="2:16">
      <c r="B146" s="7" t="str">
        <f t="shared" si="34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41"/>
        <v>0</v>
      </c>
      <c r="F146" s="55">
        <f t="shared" si="42"/>
        <v>0</v>
      </c>
      <c r="G146" s="55">
        <f t="shared" si="43"/>
        <v>0</v>
      </c>
      <c r="H146" s="355">
        <f t="shared" si="44"/>
        <v>0</v>
      </c>
      <c r="I146" s="381">
        <f t="shared" si="45"/>
        <v>0</v>
      </c>
      <c r="J146" s="54">
        <f t="shared" si="47"/>
        <v>0</v>
      </c>
      <c r="K146" s="54"/>
      <c r="L146" s="115"/>
      <c r="M146" s="54">
        <f t="shared" si="48"/>
        <v>0</v>
      </c>
      <c r="N146" s="115"/>
      <c r="O146" s="54">
        <f t="shared" si="49"/>
        <v>0</v>
      </c>
      <c r="P146" s="54">
        <f t="shared" si="50"/>
        <v>0</v>
      </c>
    </row>
    <row r="147" spans="2:16">
      <c r="B147" s="7" t="str">
        <f t="shared" si="34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41"/>
        <v>0</v>
      </c>
      <c r="F147" s="55">
        <f t="shared" si="42"/>
        <v>0</v>
      </c>
      <c r="G147" s="55">
        <f t="shared" si="43"/>
        <v>0</v>
      </c>
      <c r="H147" s="355">
        <f t="shared" si="44"/>
        <v>0</v>
      </c>
      <c r="I147" s="381">
        <f t="shared" si="45"/>
        <v>0</v>
      </c>
      <c r="J147" s="54">
        <f t="shared" si="47"/>
        <v>0</v>
      </c>
      <c r="K147" s="54"/>
      <c r="L147" s="115"/>
      <c r="M147" s="54">
        <f t="shared" si="48"/>
        <v>0</v>
      </c>
      <c r="N147" s="115"/>
      <c r="O147" s="54">
        <f t="shared" si="49"/>
        <v>0</v>
      </c>
      <c r="P147" s="54">
        <f t="shared" si="50"/>
        <v>0</v>
      </c>
    </row>
    <row r="148" spans="2:16">
      <c r="B148" s="7" t="str">
        <f t="shared" si="34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41"/>
        <v>0</v>
      </c>
      <c r="F148" s="55">
        <f t="shared" si="42"/>
        <v>0</v>
      </c>
      <c r="G148" s="55">
        <f t="shared" si="43"/>
        <v>0</v>
      </c>
      <c r="H148" s="355">
        <f t="shared" si="44"/>
        <v>0</v>
      </c>
      <c r="I148" s="381">
        <f t="shared" si="45"/>
        <v>0</v>
      </c>
      <c r="J148" s="54">
        <f t="shared" si="47"/>
        <v>0</v>
      </c>
      <c r="K148" s="54"/>
      <c r="L148" s="115"/>
      <c r="M148" s="54">
        <f t="shared" si="48"/>
        <v>0</v>
      </c>
      <c r="N148" s="115"/>
      <c r="O148" s="54">
        <f t="shared" si="49"/>
        <v>0</v>
      </c>
      <c r="P148" s="54">
        <f t="shared" si="50"/>
        <v>0</v>
      </c>
    </row>
    <row r="149" spans="2:16">
      <c r="B149" s="7" t="str">
        <f t="shared" si="34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41"/>
        <v>0</v>
      </c>
      <c r="F149" s="55">
        <f t="shared" si="42"/>
        <v>0</v>
      </c>
      <c r="G149" s="55">
        <f t="shared" si="43"/>
        <v>0</v>
      </c>
      <c r="H149" s="355">
        <f t="shared" si="44"/>
        <v>0</v>
      </c>
      <c r="I149" s="381">
        <f t="shared" si="45"/>
        <v>0</v>
      </c>
      <c r="J149" s="54">
        <f t="shared" si="47"/>
        <v>0</v>
      </c>
      <c r="K149" s="54"/>
      <c r="L149" s="115"/>
      <c r="M149" s="54">
        <f t="shared" si="48"/>
        <v>0</v>
      </c>
      <c r="N149" s="115"/>
      <c r="O149" s="54">
        <f t="shared" si="49"/>
        <v>0</v>
      </c>
      <c r="P149" s="54">
        <f t="shared" si="50"/>
        <v>0</v>
      </c>
    </row>
    <row r="150" spans="2:16">
      <c r="B150" s="7" t="str">
        <f t="shared" si="34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41"/>
        <v>0</v>
      </c>
      <c r="F150" s="55">
        <f t="shared" si="42"/>
        <v>0</v>
      </c>
      <c r="G150" s="55">
        <f t="shared" si="43"/>
        <v>0</v>
      </c>
      <c r="H150" s="355">
        <f t="shared" si="44"/>
        <v>0</v>
      </c>
      <c r="I150" s="381">
        <f t="shared" si="45"/>
        <v>0</v>
      </c>
      <c r="J150" s="54">
        <f t="shared" si="47"/>
        <v>0</v>
      </c>
      <c r="K150" s="54"/>
      <c r="L150" s="115"/>
      <c r="M150" s="54">
        <f t="shared" si="48"/>
        <v>0</v>
      </c>
      <c r="N150" s="115"/>
      <c r="O150" s="54">
        <f t="shared" si="49"/>
        <v>0</v>
      </c>
      <c r="P150" s="54">
        <f t="shared" si="50"/>
        <v>0</v>
      </c>
    </row>
    <row r="151" spans="2:16">
      <c r="B151" s="7" t="str">
        <f t="shared" si="34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41"/>
        <v>0</v>
      </c>
      <c r="F151" s="55">
        <f t="shared" si="42"/>
        <v>0</v>
      </c>
      <c r="G151" s="55">
        <f t="shared" si="43"/>
        <v>0</v>
      </c>
      <c r="H151" s="355">
        <f t="shared" si="44"/>
        <v>0</v>
      </c>
      <c r="I151" s="381">
        <f t="shared" si="45"/>
        <v>0</v>
      </c>
      <c r="J151" s="54">
        <f t="shared" si="47"/>
        <v>0</v>
      </c>
      <c r="K151" s="54"/>
      <c r="L151" s="115"/>
      <c r="M151" s="54">
        <f t="shared" si="48"/>
        <v>0</v>
      </c>
      <c r="N151" s="115"/>
      <c r="O151" s="54">
        <f t="shared" si="49"/>
        <v>0</v>
      </c>
      <c r="P151" s="54">
        <f t="shared" si="50"/>
        <v>0</v>
      </c>
    </row>
    <row r="152" spans="2:16">
      <c r="B152" s="7" t="str">
        <f t="shared" si="34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41"/>
        <v>0</v>
      </c>
      <c r="F152" s="55">
        <f t="shared" si="42"/>
        <v>0</v>
      </c>
      <c r="G152" s="55">
        <f t="shared" si="43"/>
        <v>0</v>
      </c>
      <c r="H152" s="355">
        <f t="shared" si="44"/>
        <v>0</v>
      </c>
      <c r="I152" s="381">
        <f t="shared" si="45"/>
        <v>0</v>
      </c>
      <c r="J152" s="54">
        <f t="shared" si="47"/>
        <v>0</v>
      </c>
      <c r="K152" s="54"/>
      <c r="L152" s="115"/>
      <c r="M152" s="54">
        <f t="shared" si="48"/>
        <v>0</v>
      </c>
      <c r="N152" s="115"/>
      <c r="O152" s="54">
        <f t="shared" si="49"/>
        <v>0</v>
      </c>
      <c r="P152" s="54">
        <f t="shared" si="50"/>
        <v>0</v>
      </c>
    </row>
    <row r="153" spans="2:16">
      <c r="B153" s="7" t="str">
        <f t="shared" si="34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41"/>
        <v>0</v>
      </c>
      <c r="F153" s="55">
        <f t="shared" si="42"/>
        <v>0</v>
      </c>
      <c r="G153" s="55">
        <f t="shared" si="43"/>
        <v>0</v>
      </c>
      <c r="H153" s="355">
        <f t="shared" si="44"/>
        <v>0</v>
      </c>
      <c r="I153" s="381">
        <f t="shared" si="45"/>
        <v>0</v>
      </c>
      <c r="J153" s="54">
        <f t="shared" si="47"/>
        <v>0</v>
      </c>
      <c r="K153" s="54"/>
      <c r="L153" s="115"/>
      <c r="M153" s="54">
        <f t="shared" si="48"/>
        <v>0</v>
      </c>
      <c r="N153" s="115"/>
      <c r="O153" s="54">
        <f t="shared" si="49"/>
        <v>0</v>
      </c>
      <c r="P153" s="54">
        <f t="shared" si="50"/>
        <v>0</v>
      </c>
    </row>
    <row r="154" spans="2:16" ht="13.5" thickBot="1">
      <c r="B154" s="7" t="str">
        <f t="shared" si="34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41"/>
        <v>0</v>
      </c>
      <c r="F154" s="59">
        <f t="shared" si="42"/>
        <v>0</v>
      </c>
      <c r="G154" s="59">
        <f t="shared" si="43"/>
        <v>0</v>
      </c>
      <c r="H154" s="435">
        <f t="shared" ref="H154" si="51">+J$94*G154+E154</f>
        <v>0</v>
      </c>
      <c r="I154" s="436">
        <f t="shared" ref="I154" si="52">+J$95*G154+E154</f>
        <v>0</v>
      </c>
      <c r="J154" s="62">
        <f t="shared" si="47"/>
        <v>0</v>
      </c>
      <c r="K154" s="54"/>
      <c r="L154" s="116"/>
      <c r="M154" s="62">
        <f t="shared" si="48"/>
        <v>0</v>
      </c>
      <c r="N154" s="116"/>
      <c r="O154" s="62">
        <f t="shared" si="49"/>
        <v>0</v>
      </c>
      <c r="P154" s="62">
        <f t="shared" si="50"/>
        <v>0</v>
      </c>
    </row>
    <row r="155" spans="2:16">
      <c r="C155" s="12" t="s">
        <v>77</v>
      </c>
      <c r="D155" s="266"/>
      <c r="E155" s="266">
        <f>SUM(E99:E154)</f>
        <v>1165593.0099999998</v>
      </c>
      <c r="F155" s="266"/>
      <c r="G155" s="266"/>
      <c r="H155" s="266">
        <f>SUM(H99:H154)</f>
        <v>3768104.843111407</v>
      </c>
      <c r="I155" s="266">
        <f>SUM(I99:I154)</f>
        <v>3768104.843111407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9" priority="1" stopIfTrue="1" operator="equal">
      <formula>$I$10</formula>
    </cfRule>
  </conditionalFormatting>
  <conditionalFormatting sqref="C99:C154">
    <cfRule type="cellIs" dxfId="2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162"/>
  <sheetViews>
    <sheetView topLeftCell="A94" zoomScale="80" zoomScaleNormal="80" workbookViewId="0">
      <selection activeCell="F112" sqref="F112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24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162476.40149029935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162476.40149029935</v>
      </c>
      <c r="O6" s="1"/>
      <c r="P6" s="1"/>
    </row>
    <row r="7" spans="1:16" ht="13.5" thickBot="1">
      <c r="C7" s="26" t="s">
        <v>46</v>
      </c>
      <c r="D7" s="88" t="s">
        <v>302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303</v>
      </c>
      <c r="E9" s="404" t="s">
        <v>304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1345382.62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5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35404.805789473685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2018</v>
      </c>
      <c r="D17" s="411">
        <v>0</v>
      </c>
      <c r="E17" s="432">
        <v>13511.111111111109</v>
      </c>
      <c r="F17" s="411">
        <v>1202488.888888889</v>
      </c>
      <c r="G17" s="432">
        <v>85515.508884209848</v>
      </c>
      <c r="H17" s="414">
        <v>85515.508884209848</v>
      </c>
      <c r="I17" s="52">
        <f>H17-G17</f>
        <v>0</v>
      </c>
      <c r="J17" s="52"/>
      <c r="K17" s="117">
        <f t="shared" ref="K17:K22" si="0">+G17</f>
        <v>85515.508884209848</v>
      </c>
      <c r="L17" s="53">
        <f t="shared" ref="L17:L72" si="1">IF(K17&lt;&gt;0,+G17-K17,0)</f>
        <v>0</v>
      </c>
      <c r="M17" s="117">
        <f t="shared" ref="M17:M22" si="2">+H17</f>
        <v>85515.508884209848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2019</v>
      </c>
      <c r="D18" s="411">
        <v>1202488.888888889</v>
      </c>
      <c r="E18" s="412">
        <v>30400</v>
      </c>
      <c r="F18" s="411">
        <v>1172088.888888889</v>
      </c>
      <c r="G18" s="412">
        <v>162968.67771034624</v>
      </c>
      <c r="H18" s="414">
        <v>162968.67771034624</v>
      </c>
      <c r="I18" s="52">
        <f>H18-G18</f>
        <v>0</v>
      </c>
      <c r="J18" s="52"/>
      <c r="K18" s="54">
        <f t="shared" si="0"/>
        <v>162968.67771034624</v>
      </c>
      <c r="L18" s="54">
        <f t="shared" si="1"/>
        <v>0</v>
      </c>
      <c r="M18" s="54">
        <f t="shared" si="2"/>
        <v>162968.67771034624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>IU</v>
      </c>
      <c r="C19" s="50">
        <f>IF(D11="","-",+C18+1)</f>
        <v>2020</v>
      </c>
      <c r="D19" s="411">
        <v>1304405.6666666667</v>
      </c>
      <c r="E19" s="412">
        <v>32022.357142857141</v>
      </c>
      <c r="F19" s="411">
        <v>1272383.3095238097</v>
      </c>
      <c r="G19" s="412">
        <v>171175.11640159666</v>
      </c>
      <c r="H19" s="414">
        <v>171175.11640159666</v>
      </c>
      <c r="I19" s="52">
        <f t="shared" ref="I19:I71" si="5">H19-G19</f>
        <v>0</v>
      </c>
      <c r="J19" s="52"/>
      <c r="K19" s="54">
        <f t="shared" si="0"/>
        <v>171175.11640159666</v>
      </c>
      <c r="L19" s="54">
        <f t="shared" ref="L19" si="6">IF(K19&lt;&gt;0,+G19-K19,0)</f>
        <v>0</v>
      </c>
      <c r="M19" s="54">
        <f t="shared" si="2"/>
        <v>171175.11640159666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2021</v>
      </c>
      <c r="D20" s="411">
        <v>1269449.5317460317</v>
      </c>
      <c r="E20" s="412">
        <v>31287.976744186046</v>
      </c>
      <c r="F20" s="411">
        <v>1238161.5550018456</v>
      </c>
      <c r="G20" s="412">
        <v>166475.36158990141</v>
      </c>
      <c r="H20" s="414">
        <v>166475.36158990141</v>
      </c>
      <c r="I20" s="52">
        <f t="shared" si="5"/>
        <v>0</v>
      </c>
      <c r="J20" s="52"/>
      <c r="K20" s="54">
        <f t="shared" si="0"/>
        <v>166475.36158990141</v>
      </c>
      <c r="L20" s="54">
        <f t="shared" ref="L20" si="8">IF(K20&lt;&gt;0,+G20-K20,0)</f>
        <v>0</v>
      </c>
      <c r="M20" s="54">
        <f t="shared" si="2"/>
        <v>166475.36158990141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7"/>
        <v/>
      </c>
      <c r="C21" s="50">
        <f>IF(D11="","-",+C20+1)</f>
        <v>2022</v>
      </c>
      <c r="D21" s="411">
        <v>1238161.5550018456</v>
      </c>
      <c r="E21" s="412">
        <v>32032.928571428572</v>
      </c>
      <c r="F21" s="411">
        <v>1206128.6264304169</v>
      </c>
      <c r="G21" s="412">
        <v>163793.91335875148</v>
      </c>
      <c r="H21" s="414">
        <v>163793.91335875148</v>
      </c>
      <c r="I21" s="52">
        <f t="shared" si="5"/>
        <v>0</v>
      </c>
      <c r="J21" s="52"/>
      <c r="K21" s="54">
        <f t="shared" si="0"/>
        <v>163793.91335875148</v>
      </c>
      <c r="L21" s="54">
        <f t="shared" ref="L21" si="9">IF(K21&lt;&gt;0,+G21-K21,0)</f>
        <v>0</v>
      </c>
      <c r="M21" s="54">
        <f t="shared" si="2"/>
        <v>163793.91335875148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7"/>
        <v>IU</v>
      </c>
      <c r="C22" s="50">
        <f>IF(D11="","-",+C21+1)</f>
        <v>2023</v>
      </c>
      <c r="D22" s="411">
        <v>1206128.2464304173</v>
      </c>
      <c r="E22" s="412">
        <v>34496.990256410259</v>
      </c>
      <c r="F22" s="411">
        <v>1171631.256174007</v>
      </c>
      <c r="G22" s="412">
        <v>176400.42982895498</v>
      </c>
      <c r="H22" s="414">
        <v>176400.42982895498</v>
      </c>
      <c r="I22" s="52">
        <v>0</v>
      </c>
      <c r="J22" s="52"/>
      <c r="K22" s="54">
        <f t="shared" si="0"/>
        <v>176400.42982895498</v>
      </c>
      <c r="L22" s="54">
        <f t="shared" ref="L22" si="10">IF(K22&lt;&gt;0,+G22-K22,0)</f>
        <v>0</v>
      </c>
      <c r="M22" s="54">
        <f t="shared" si="2"/>
        <v>176400.42982895498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>
      <c r="B23" s="7" t="str">
        <f t="shared" si="7"/>
        <v/>
      </c>
      <c r="C23" s="50">
        <f>IF(D11="","-",+C22+1)</f>
        <v>2024</v>
      </c>
      <c r="D23" s="411">
        <v>1171631.256174007</v>
      </c>
      <c r="E23" s="412">
        <v>35404.805789473685</v>
      </c>
      <c r="F23" s="411">
        <v>1136226.4503845333</v>
      </c>
      <c r="G23" s="412">
        <v>166652.89001495793</v>
      </c>
      <c r="H23" s="414">
        <v>166652.89001495793</v>
      </c>
      <c r="I23" s="52">
        <f t="shared" si="5"/>
        <v>0</v>
      </c>
      <c r="J23" s="52"/>
      <c r="K23" s="54">
        <f t="shared" ref="K23" si="13">+G23</f>
        <v>166652.89001495793</v>
      </c>
      <c r="L23" s="54">
        <f t="shared" ref="L23" si="14">IF(K23&lt;&gt;0,+G23-K23,0)</f>
        <v>0</v>
      </c>
      <c r="M23" s="54">
        <f t="shared" ref="M23" si="15">+H23</f>
        <v>166652.89001495793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>
      <c r="B24" s="7" t="str">
        <f t="shared" si="7"/>
        <v/>
      </c>
      <c r="C24" s="50">
        <f>IF(D11="","-",+C23+1)</f>
        <v>2025</v>
      </c>
      <c r="D24" s="411">
        <v>1136226.4503845333</v>
      </c>
      <c r="E24" s="412">
        <v>35404.805789473685</v>
      </c>
      <c r="F24" s="411">
        <v>1100821.6445950596</v>
      </c>
      <c r="G24" s="412">
        <v>162476.40149029935</v>
      </c>
      <c r="H24" s="414">
        <v>162476.40149029935</v>
      </c>
      <c r="I24" s="52">
        <f t="shared" si="5"/>
        <v>0</v>
      </c>
      <c r="J24" s="52"/>
      <c r="K24" s="54">
        <f t="shared" ref="K24" si="18">+G24</f>
        <v>162476.40149029935</v>
      </c>
      <c r="L24" s="54">
        <f t="shared" ref="L24" si="19">IF(K24&lt;&gt;0,+G24-K24,0)</f>
        <v>0</v>
      </c>
      <c r="M24" s="54">
        <f t="shared" ref="M24" si="20">+H24</f>
        <v>162476.40149029935</v>
      </c>
      <c r="N24" s="54">
        <f t="shared" ref="N24" si="21">IF(M24&lt;&gt;0,+H24-M24,0)</f>
        <v>0</v>
      </c>
      <c r="O24" s="54">
        <f t="shared" ref="O24" si="22">+N24-L24</f>
        <v>0</v>
      </c>
      <c r="P24" s="1"/>
    </row>
    <row r="25" spans="2:16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1100821.6445950596</v>
      </c>
      <c r="E25" s="354">
        <f t="shared" ref="E25:E71" si="23">IF(+I$14&lt;F24,I$14,D25)</f>
        <v>35404.805789473685</v>
      </c>
      <c r="F25" s="55">
        <f t="shared" ref="F25:F71" si="24">+D25-E25</f>
        <v>1065416.8388055859</v>
      </c>
      <c r="G25" s="355">
        <f t="shared" ref="G25:G71" si="25">(D25+F25)/2*I$12+E25</f>
        <v>158454.18562713324</v>
      </c>
      <c r="H25" s="336">
        <f t="shared" ref="H25:H71" si="26">+(D25+F25)/2*I$13+E25</f>
        <v>158454.18562713324</v>
      </c>
      <c r="I25" s="52">
        <f t="shared" si="5"/>
        <v>0</v>
      </c>
      <c r="J25" s="52"/>
      <c r="K25" s="115"/>
      <c r="L25" s="54">
        <f t="shared" si="1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1065416.8388055859</v>
      </c>
      <c r="E26" s="354">
        <f t="shared" si="23"/>
        <v>35404.805789473685</v>
      </c>
      <c r="F26" s="55">
        <f t="shared" si="24"/>
        <v>1030012.0330161122</v>
      </c>
      <c r="G26" s="355">
        <f t="shared" si="25"/>
        <v>154431.96976396709</v>
      </c>
      <c r="H26" s="336">
        <f t="shared" si="26"/>
        <v>154431.96976396709</v>
      </c>
      <c r="I26" s="52">
        <f t="shared" si="5"/>
        <v>0</v>
      </c>
      <c r="J26" s="52"/>
      <c r="K26" s="115"/>
      <c r="L26" s="54">
        <f t="shared" si="1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1030012.0330161122</v>
      </c>
      <c r="E27" s="354">
        <f t="shared" si="23"/>
        <v>35404.805789473685</v>
      </c>
      <c r="F27" s="55">
        <f t="shared" si="24"/>
        <v>994607.22722663847</v>
      </c>
      <c r="G27" s="355">
        <f t="shared" si="25"/>
        <v>150409.75390080095</v>
      </c>
      <c r="H27" s="336">
        <f t="shared" si="26"/>
        <v>150409.75390080095</v>
      </c>
      <c r="I27" s="52">
        <f t="shared" si="5"/>
        <v>0</v>
      </c>
      <c r="J27" s="52"/>
      <c r="K27" s="115"/>
      <c r="L27" s="54">
        <f t="shared" si="1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994607.22722663847</v>
      </c>
      <c r="E28" s="354">
        <f t="shared" si="23"/>
        <v>35404.805789473685</v>
      </c>
      <c r="F28" s="55">
        <f t="shared" si="24"/>
        <v>959202.42143716477</v>
      </c>
      <c r="G28" s="355">
        <f t="shared" si="25"/>
        <v>146387.5380376348</v>
      </c>
      <c r="H28" s="336">
        <f t="shared" si="26"/>
        <v>146387.5380376348</v>
      </c>
      <c r="I28" s="52">
        <f t="shared" si="5"/>
        <v>0</v>
      </c>
      <c r="J28" s="52"/>
      <c r="K28" s="115"/>
      <c r="L28" s="54">
        <f t="shared" si="1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959202.42143716477</v>
      </c>
      <c r="E29" s="354">
        <f t="shared" si="23"/>
        <v>35404.805789473685</v>
      </c>
      <c r="F29" s="55">
        <f t="shared" si="24"/>
        <v>923797.61564769107</v>
      </c>
      <c r="G29" s="355">
        <f t="shared" si="25"/>
        <v>142365.32217446866</v>
      </c>
      <c r="H29" s="336">
        <f t="shared" si="26"/>
        <v>142365.32217446866</v>
      </c>
      <c r="I29" s="52">
        <f t="shared" si="5"/>
        <v>0</v>
      </c>
      <c r="J29" s="52"/>
      <c r="K29" s="115"/>
      <c r="L29" s="54">
        <f t="shared" si="1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923797.61564769107</v>
      </c>
      <c r="E30" s="354">
        <f t="shared" si="23"/>
        <v>35404.805789473685</v>
      </c>
      <c r="F30" s="55">
        <f t="shared" si="24"/>
        <v>888392.80985821737</v>
      </c>
      <c r="G30" s="355">
        <f t="shared" si="25"/>
        <v>138343.10631130252</v>
      </c>
      <c r="H30" s="336">
        <f t="shared" si="26"/>
        <v>138343.10631130252</v>
      </c>
      <c r="I30" s="52">
        <f t="shared" si="5"/>
        <v>0</v>
      </c>
      <c r="J30" s="52"/>
      <c r="K30" s="115"/>
      <c r="L30" s="54">
        <f t="shared" si="1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888392.80985821737</v>
      </c>
      <c r="E31" s="354">
        <f t="shared" si="23"/>
        <v>35404.805789473685</v>
      </c>
      <c r="F31" s="55">
        <f t="shared" si="24"/>
        <v>852988.00406874367</v>
      </c>
      <c r="G31" s="355">
        <f t="shared" si="25"/>
        <v>134320.89044813637</v>
      </c>
      <c r="H31" s="336">
        <f t="shared" si="26"/>
        <v>134320.89044813637</v>
      </c>
      <c r="I31" s="52">
        <f t="shared" si="5"/>
        <v>0</v>
      </c>
      <c r="J31" s="52"/>
      <c r="K31" s="115"/>
      <c r="L31" s="54">
        <f t="shared" si="1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852988.00406874367</v>
      </c>
      <c r="E32" s="354">
        <f t="shared" si="23"/>
        <v>35404.805789473685</v>
      </c>
      <c r="F32" s="55">
        <f t="shared" si="24"/>
        <v>817583.19827926997</v>
      </c>
      <c r="G32" s="355">
        <f t="shared" si="25"/>
        <v>130298.67458497026</v>
      </c>
      <c r="H32" s="336">
        <f t="shared" si="26"/>
        <v>130298.67458497026</v>
      </c>
      <c r="I32" s="52">
        <f t="shared" si="5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817583.19827926997</v>
      </c>
      <c r="E33" s="354">
        <f t="shared" si="23"/>
        <v>35404.805789473685</v>
      </c>
      <c r="F33" s="55">
        <f t="shared" si="24"/>
        <v>782178.39248979627</v>
      </c>
      <c r="G33" s="355">
        <f t="shared" si="25"/>
        <v>126276.45872180411</v>
      </c>
      <c r="H33" s="336">
        <f t="shared" si="26"/>
        <v>126276.45872180411</v>
      </c>
      <c r="I33" s="52">
        <f t="shared" si="5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782178.39248979627</v>
      </c>
      <c r="E34" s="354">
        <f t="shared" si="23"/>
        <v>35404.805789473685</v>
      </c>
      <c r="F34" s="55">
        <f t="shared" si="24"/>
        <v>746773.58670032257</v>
      </c>
      <c r="G34" s="355">
        <f t="shared" si="25"/>
        <v>122254.24285863798</v>
      </c>
      <c r="H34" s="336">
        <f t="shared" si="26"/>
        <v>122254.24285863798</v>
      </c>
      <c r="I34" s="52">
        <f t="shared" si="5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746773.58670032257</v>
      </c>
      <c r="E35" s="354">
        <f t="shared" si="23"/>
        <v>35404.805789473685</v>
      </c>
      <c r="F35" s="55">
        <f t="shared" si="24"/>
        <v>711368.78091084887</v>
      </c>
      <c r="G35" s="355">
        <f t="shared" si="25"/>
        <v>118232.02699547184</v>
      </c>
      <c r="H35" s="336">
        <f t="shared" si="26"/>
        <v>118232.02699547184</v>
      </c>
      <c r="I35" s="52">
        <f t="shared" si="5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711368.78091084887</v>
      </c>
      <c r="E36" s="354">
        <f t="shared" si="23"/>
        <v>35404.805789473685</v>
      </c>
      <c r="F36" s="55">
        <f t="shared" si="24"/>
        <v>675963.97512137517</v>
      </c>
      <c r="G36" s="355">
        <f t="shared" si="25"/>
        <v>114209.81113230569</v>
      </c>
      <c r="H36" s="336">
        <f t="shared" si="26"/>
        <v>114209.81113230569</v>
      </c>
      <c r="I36" s="52">
        <f t="shared" si="5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675963.97512137517</v>
      </c>
      <c r="E37" s="354">
        <f t="shared" si="23"/>
        <v>35404.805789473685</v>
      </c>
      <c r="F37" s="55">
        <f t="shared" si="24"/>
        <v>640559.16933190147</v>
      </c>
      <c r="G37" s="355">
        <f t="shared" si="25"/>
        <v>110187.59526913957</v>
      </c>
      <c r="H37" s="336">
        <f t="shared" si="26"/>
        <v>110187.59526913957</v>
      </c>
      <c r="I37" s="52">
        <f t="shared" si="5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640559.16933190147</v>
      </c>
      <c r="E38" s="354">
        <f t="shared" si="23"/>
        <v>35404.805789473685</v>
      </c>
      <c r="F38" s="55">
        <f t="shared" si="24"/>
        <v>605154.36354242777</v>
      </c>
      <c r="G38" s="355">
        <f t="shared" si="25"/>
        <v>106165.37940597342</v>
      </c>
      <c r="H38" s="336">
        <f t="shared" si="26"/>
        <v>106165.37940597342</v>
      </c>
      <c r="I38" s="52">
        <f t="shared" si="5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605154.36354242777</v>
      </c>
      <c r="E39" s="354">
        <f t="shared" si="23"/>
        <v>35404.805789473685</v>
      </c>
      <c r="F39" s="55">
        <f t="shared" si="24"/>
        <v>569749.55775295408</v>
      </c>
      <c r="G39" s="355">
        <f t="shared" si="25"/>
        <v>102143.16354280729</v>
      </c>
      <c r="H39" s="336">
        <f t="shared" si="26"/>
        <v>102143.16354280729</v>
      </c>
      <c r="I39" s="52">
        <f t="shared" si="5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569749.55775295408</v>
      </c>
      <c r="E40" s="354">
        <f t="shared" si="23"/>
        <v>35404.805789473685</v>
      </c>
      <c r="F40" s="55">
        <f t="shared" si="24"/>
        <v>534344.75196348038</v>
      </c>
      <c r="G40" s="355">
        <f t="shared" si="25"/>
        <v>98120.947679641147</v>
      </c>
      <c r="H40" s="336">
        <f t="shared" si="26"/>
        <v>98120.947679641147</v>
      </c>
      <c r="I40" s="52">
        <f t="shared" si="5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534344.75196348038</v>
      </c>
      <c r="E41" s="354">
        <f t="shared" si="23"/>
        <v>35404.805789473685</v>
      </c>
      <c r="F41" s="55">
        <f t="shared" si="24"/>
        <v>498939.94617400668</v>
      </c>
      <c r="G41" s="355">
        <f t="shared" si="25"/>
        <v>94098.731816475018</v>
      </c>
      <c r="H41" s="336">
        <f t="shared" si="26"/>
        <v>94098.731816475018</v>
      </c>
      <c r="I41" s="52">
        <f t="shared" si="5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498939.94617400668</v>
      </c>
      <c r="E42" s="354">
        <f t="shared" si="23"/>
        <v>35404.805789473685</v>
      </c>
      <c r="F42" s="55">
        <f t="shared" si="24"/>
        <v>463535.14038453298</v>
      </c>
      <c r="G42" s="355">
        <f t="shared" si="25"/>
        <v>90076.515953308874</v>
      </c>
      <c r="H42" s="336">
        <f t="shared" si="26"/>
        <v>90076.515953308874</v>
      </c>
      <c r="I42" s="52">
        <f t="shared" si="5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463535.14038453298</v>
      </c>
      <c r="E43" s="354">
        <f t="shared" si="23"/>
        <v>35404.805789473685</v>
      </c>
      <c r="F43" s="55">
        <f t="shared" si="24"/>
        <v>428130.33459505928</v>
      </c>
      <c r="G43" s="355">
        <f t="shared" si="25"/>
        <v>86054.300090142729</v>
      </c>
      <c r="H43" s="336">
        <f t="shared" si="26"/>
        <v>86054.300090142729</v>
      </c>
      <c r="I43" s="52">
        <f t="shared" si="5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428130.33459505928</v>
      </c>
      <c r="E44" s="354">
        <f t="shared" si="23"/>
        <v>35404.805789473685</v>
      </c>
      <c r="F44" s="55">
        <f t="shared" si="24"/>
        <v>392725.52880558558</v>
      </c>
      <c r="G44" s="355">
        <f t="shared" si="25"/>
        <v>82032.084226976585</v>
      </c>
      <c r="H44" s="336">
        <f t="shared" si="26"/>
        <v>82032.084226976585</v>
      </c>
      <c r="I44" s="52">
        <f t="shared" si="5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392725.52880558558</v>
      </c>
      <c r="E45" s="354">
        <f t="shared" si="23"/>
        <v>35404.805789473685</v>
      </c>
      <c r="F45" s="55">
        <f t="shared" si="24"/>
        <v>357320.72301611188</v>
      </c>
      <c r="G45" s="355">
        <f t="shared" si="25"/>
        <v>78009.868363810456</v>
      </c>
      <c r="H45" s="336">
        <f t="shared" si="26"/>
        <v>78009.868363810456</v>
      </c>
      <c r="I45" s="52">
        <f t="shared" si="5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357320.72301611188</v>
      </c>
      <c r="E46" s="354">
        <f t="shared" si="23"/>
        <v>35404.805789473685</v>
      </c>
      <c r="F46" s="55">
        <f t="shared" si="24"/>
        <v>321915.91722663818</v>
      </c>
      <c r="G46" s="355">
        <f t="shared" si="25"/>
        <v>73987.652500644326</v>
      </c>
      <c r="H46" s="336">
        <f t="shared" si="26"/>
        <v>73987.652500644326</v>
      </c>
      <c r="I46" s="52">
        <f t="shared" si="5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321915.91722663818</v>
      </c>
      <c r="E47" s="354">
        <f t="shared" si="23"/>
        <v>35404.805789473685</v>
      </c>
      <c r="F47" s="55">
        <f t="shared" si="24"/>
        <v>286511.11143716448</v>
      </c>
      <c r="G47" s="355">
        <f t="shared" si="25"/>
        <v>69965.436637478182</v>
      </c>
      <c r="H47" s="336">
        <f t="shared" si="26"/>
        <v>69965.436637478182</v>
      </c>
      <c r="I47" s="52">
        <f t="shared" si="5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286511.11143716448</v>
      </c>
      <c r="E48" s="354">
        <f t="shared" si="23"/>
        <v>35404.805789473685</v>
      </c>
      <c r="F48" s="55">
        <f t="shared" si="24"/>
        <v>251106.30564769078</v>
      </c>
      <c r="G48" s="355">
        <f t="shared" si="25"/>
        <v>65943.220774312038</v>
      </c>
      <c r="H48" s="336">
        <f t="shared" si="26"/>
        <v>65943.220774312038</v>
      </c>
      <c r="I48" s="52">
        <f t="shared" si="5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251106.30564769078</v>
      </c>
      <c r="E49" s="354">
        <f t="shared" si="23"/>
        <v>35404.805789473685</v>
      </c>
      <c r="F49" s="55">
        <f t="shared" si="24"/>
        <v>215701.49985821708</v>
      </c>
      <c r="G49" s="355">
        <f t="shared" si="25"/>
        <v>61921.004911145908</v>
      </c>
      <c r="H49" s="336">
        <f t="shared" si="26"/>
        <v>61921.004911145908</v>
      </c>
      <c r="I49" s="52">
        <f t="shared" si="5"/>
        <v>0</v>
      </c>
      <c r="J49" s="52"/>
      <c r="K49" s="115"/>
      <c r="L49" s="54">
        <f t="shared" si="1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215701.49985821708</v>
      </c>
      <c r="E50" s="354">
        <f t="shared" si="23"/>
        <v>35404.805789473685</v>
      </c>
      <c r="F50" s="55">
        <f t="shared" si="24"/>
        <v>180296.69406874338</v>
      </c>
      <c r="G50" s="355">
        <f t="shared" si="25"/>
        <v>57898.789047979764</v>
      </c>
      <c r="H50" s="336">
        <f t="shared" si="26"/>
        <v>57898.789047979764</v>
      </c>
      <c r="I50" s="52">
        <f t="shared" si="5"/>
        <v>0</v>
      </c>
      <c r="J50" s="52"/>
      <c r="K50" s="115"/>
      <c r="L50" s="54">
        <f t="shared" si="1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180296.69406874338</v>
      </c>
      <c r="E51" s="354">
        <f t="shared" si="23"/>
        <v>35404.805789473685</v>
      </c>
      <c r="F51" s="55">
        <f t="shared" si="24"/>
        <v>144891.88827926968</v>
      </c>
      <c r="G51" s="355">
        <f t="shared" si="25"/>
        <v>53876.573184813627</v>
      </c>
      <c r="H51" s="336">
        <f t="shared" si="26"/>
        <v>53876.573184813627</v>
      </c>
      <c r="I51" s="52">
        <f t="shared" si="5"/>
        <v>0</v>
      </c>
      <c r="J51" s="52"/>
      <c r="K51" s="115"/>
      <c r="L51" s="54">
        <f t="shared" si="1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144891.88827926968</v>
      </c>
      <c r="E52" s="354">
        <f t="shared" si="23"/>
        <v>35404.805789473685</v>
      </c>
      <c r="F52" s="55">
        <f t="shared" si="24"/>
        <v>109487.082489796</v>
      </c>
      <c r="G52" s="355">
        <f t="shared" si="25"/>
        <v>49854.357321647491</v>
      </c>
      <c r="H52" s="336">
        <f t="shared" si="26"/>
        <v>49854.357321647491</v>
      </c>
      <c r="I52" s="52">
        <f t="shared" si="5"/>
        <v>0</v>
      </c>
      <c r="J52" s="52"/>
      <c r="K52" s="115"/>
      <c r="L52" s="54">
        <f t="shared" si="1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109487.082489796</v>
      </c>
      <c r="E53" s="354">
        <f t="shared" si="23"/>
        <v>35404.805789473685</v>
      </c>
      <c r="F53" s="55">
        <f t="shared" si="24"/>
        <v>74082.276700322313</v>
      </c>
      <c r="G53" s="355">
        <f t="shared" si="25"/>
        <v>45832.141458481354</v>
      </c>
      <c r="H53" s="336">
        <f t="shared" si="26"/>
        <v>45832.141458481354</v>
      </c>
      <c r="I53" s="52">
        <f t="shared" si="5"/>
        <v>0</v>
      </c>
      <c r="J53" s="52"/>
      <c r="K53" s="115"/>
      <c r="L53" s="54">
        <f t="shared" si="1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74082.276700322313</v>
      </c>
      <c r="E54" s="354">
        <f t="shared" si="23"/>
        <v>35404.805789473685</v>
      </c>
      <c r="F54" s="55">
        <f t="shared" si="24"/>
        <v>38677.470910848628</v>
      </c>
      <c r="G54" s="355">
        <f t="shared" si="25"/>
        <v>41809.925595315217</v>
      </c>
      <c r="H54" s="336">
        <f t="shared" si="26"/>
        <v>41809.925595315217</v>
      </c>
      <c r="I54" s="52">
        <f t="shared" si="5"/>
        <v>0</v>
      </c>
      <c r="J54" s="52"/>
      <c r="K54" s="115"/>
      <c r="L54" s="54">
        <f t="shared" si="1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38677.470910848628</v>
      </c>
      <c r="E55" s="354">
        <f t="shared" si="23"/>
        <v>35404.805789473685</v>
      </c>
      <c r="F55" s="55">
        <f t="shared" si="24"/>
        <v>3272.6651213749428</v>
      </c>
      <c r="G55" s="355">
        <f t="shared" si="25"/>
        <v>37787.70973214908</v>
      </c>
      <c r="H55" s="336">
        <f t="shared" si="26"/>
        <v>37787.70973214908</v>
      </c>
      <c r="I55" s="52">
        <f t="shared" si="5"/>
        <v>0</v>
      </c>
      <c r="J55" s="52"/>
      <c r="K55" s="115"/>
      <c r="L55" s="54">
        <f t="shared" si="1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3272.6651213749428</v>
      </c>
      <c r="E56" s="354">
        <f t="shared" si="23"/>
        <v>3272.6651213749428</v>
      </c>
      <c r="F56" s="55">
        <f t="shared" si="24"/>
        <v>0</v>
      </c>
      <c r="G56" s="355">
        <f t="shared" si="25"/>
        <v>3458.5631269211062</v>
      </c>
      <c r="H56" s="336">
        <f t="shared" si="26"/>
        <v>3458.5631269211062</v>
      </c>
      <c r="I56" s="52">
        <f t="shared" si="5"/>
        <v>0</v>
      </c>
      <c r="J56" s="52"/>
      <c r="K56" s="115"/>
      <c r="L56" s="54">
        <f t="shared" si="1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23"/>
        <v>0</v>
      </c>
      <c r="F57" s="55">
        <f t="shared" si="24"/>
        <v>0</v>
      </c>
      <c r="G57" s="355">
        <f t="shared" si="25"/>
        <v>0</v>
      </c>
      <c r="H57" s="336">
        <f t="shared" si="26"/>
        <v>0</v>
      </c>
      <c r="I57" s="52">
        <f t="shared" si="5"/>
        <v>0</v>
      </c>
      <c r="J57" s="52"/>
      <c r="K57" s="115"/>
      <c r="L57" s="54">
        <f t="shared" si="1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23"/>
        <v>0</v>
      </c>
      <c r="F58" s="55">
        <f t="shared" si="24"/>
        <v>0</v>
      </c>
      <c r="G58" s="355">
        <f t="shared" si="25"/>
        <v>0</v>
      </c>
      <c r="H58" s="336">
        <f t="shared" si="26"/>
        <v>0</v>
      </c>
      <c r="I58" s="52">
        <f t="shared" si="5"/>
        <v>0</v>
      </c>
      <c r="J58" s="52"/>
      <c r="K58" s="115"/>
      <c r="L58" s="54">
        <f t="shared" si="1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23"/>
        <v>0</v>
      </c>
      <c r="F59" s="55">
        <f t="shared" si="24"/>
        <v>0</v>
      </c>
      <c r="G59" s="355">
        <f t="shared" si="25"/>
        <v>0</v>
      </c>
      <c r="H59" s="336">
        <f t="shared" si="26"/>
        <v>0</v>
      </c>
      <c r="I59" s="52">
        <f t="shared" si="5"/>
        <v>0</v>
      </c>
      <c r="J59" s="52"/>
      <c r="K59" s="115"/>
      <c r="L59" s="54">
        <f t="shared" si="1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23"/>
        <v>0</v>
      </c>
      <c r="F60" s="55">
        <f t="shared" si="24"/>
        <v>0</v>
      </c>
      <c r="G60" s="355">
        <f t="shared" si="25"/>
        <v>0</v>
      </c>
      <c r="H60" s="336">
        <f t="shared" si="26"/>
        <v>0</v>
      </c>
      <c r="I60" s="52">
        <f t="shared" si="5"/>
        <v>0</v>
      </c>
      <c r="J60" s="52"/>
      <c r="K60" s="115"/>
      <c r="L60" s="54">
        <f t="shared" si="1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23"/>
        <v>0</v>
      </c>
      <c r="F61" s="55">
        <f t="shared" si="24"/>
        <v>0</v>
      </c>
      <c r="G61" s="355">
        <f t="shared" si="25"/>
        <v>0</v>
      </c>
      <c r="H61" s="336">
        <f t="shared" si="26"/>
        <v>0</v>
      </c>
      <c r="I61" s="52">
        <f t="shared" si="5"/>
        <v>0</v>
      </c>
      <c r="J61" s="52"/>
      <c r="K61" s="115"/>
      <c r="L61" s="54">
        <f t="shared" si="1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23"/>
        <v>0</v>
      </c>
      <c r="F62" s="55">
        <f t="shared" si="24"/>
        <v>0</v>
      </c>
      <c r="G62" s="355">
        <f t="shared" si="25"/>
        <v>0</v>
      </c>
      <c r="H62" s="336">
        <f t="shared" si="26"/>
        <v>0</v>
      </c>
      <c r="I62" s="52">
        <f t="shared" si="5"/>
        <v>0</v>
      </c>
      <c r="J62" s="52"/>
      <c r="K62" s="115"/>
      <c r="L62" s="54">
        <f t="shared" si="1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23"/>
        <v>0</v>
      </c>
      <c r="F63" s="55">
        <f t="shared" si="24"/>
        <v>0</v>
      </c>
      <c r="G63" s="355">
        <f t="shared" si="25"/>
        <v>0</v>
      </c>
      <c r="H63" s="336">
        <f t="shared" si="26"/>
        <v>0</v>
      </c>
      <c r="I63" s="52">
        <f t="shared" si="5"/>
        <v>0</v>
      </c>
      <c r="J63" s="52"/>
      <c r="K63" s="115"/>
      <c r="L63" s="54">
        <f t="shared" si="1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23"/>
        <v>0</v>
      </c>
      <c r="F64" s="55">
        <f t="shared" si="24"/>
        <v>0</v>
      </c>
      <c r="G64" s="355">
        <f t="shared" si="25"/>
        <v>0</v>
      </c>
      <c r="H64" s="336">
        <f t="shared" si="26"/>
        <v>0</v>
      </c>
      <c r="I64" s="52">
        <f t="shared" si="5"/>
        <v>0</v>
      </c>
      <c r="J64" s="52"/>
      <c r="K64" s="115"/>
      <c r="L64" s="54">
        <f t="shared" si="1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23"/>
        <v>0</v>
      </c>
      <c r="F65" s="55">
        <f t="shared" si="24"/>
        <v>0</v>
      </c>
      <c r="G65" s="355">
        <f t="shared" si="25"/>
        <v>0</v>
      </c>
      <c r="H65" s="336">
        <f t="shared" si="26"/>
        <v>0</v>
      </c>
      <c r="I65" s="52">
        <f t="shared" si="5"/>
        <v>0</v>
      </c>
      <c r="J65" s="52"/>
      <c r="K65" s="115"/>
      <c r="L65" s="54">
        <f t="shared" si="1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23"/>
        <v>0</v>
      </c>
      <c r="F66" s="55">
        <f t="shared" si="24"/>
        <v>0</v>
      </c>
      <c r="G66" s="355">
        <f t="shared" si="25"/>
        <v>0</v>
      </c>
      <c r="H66" s="336">
        <f t="shared" si="26"/>
        <v>0</v>
      </c>
      <c r="I66" s="52">
        <f t="shared" si="5"/>
        <v>0</v>
      </c>
      <c r="J66" s="52"/>
      <c r="K66" s="115"/>
      <c r="L66" s="54">
        <f t="shared" si="1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23"/>
        <v>0</v>
      </c>
      <c r="F67" s="55">
        <f t="shared" si="24"/>
        <v>0</v>
      </c>
      <c r="G67" s="355">
        <f t="shared" si="25"/>
        <v>0</v>
      </c>
      <c r="H67" s="336">
        <f t="shared" si="26"/>
        <v>0</v>
      </c>
      <c r="I67" s="52">
        <f t="shared" si="5"/>
        <v>0</v>
      </c>
      <c r="J67" s="52"/>
      <c r="K67" s="115"/>
      <c r="L67" s="54">
        <f t="shared" si="1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23"/>
        <v>0</v>
      </c>
      <c r="F68" s="55">
        <f t="shared" si="24"/>
        <v>0</v>
      </c>
      <c r="G68" s="355">
        <f t="shared" si="25"/>
        <v>0</v>
      </c>
      <c r="H68" s="336">
        <f t="shared" si="26"/>
        <v>0</v>
      </c>
      <c r="I68" s="52">
        <f t="shared" si="5"/>
        <v>0</v>
      </c>
      <c r="J68" s="52"/>
      <c r="K68" s="115"/>
      <c r="L68" s="54">
        <f t="shared" si="1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23"/>
        <v>0</v>
      </c>
      <c r="F69" s="55">
        <f t="shared" si="24"/>
        <v>0</v>
      </c>
      <c r="G69" s="355">
        <f t="shared" si="25"/>
        <v>0</v>
      </c>
      <c r="H69" s="336">
        <f t="shared" si="26"/>
        <v>0</v>
      </c>
      <c r="I69" s="52">
        <f t="shared" si="5"/>
        <v>0</v>
      </c>
      <c r="J69" s="52"/>
      <c r="K69" s="115"/>
      <c r="L69" s="54">
        <f t="shared" si="1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23"/>
        <v>0</v>
      </c>
      <c r="F70" s="55">
        <f t="shared" si="24"/>
        <v>0</v>
      </c>
      <c r="G70" s="355">
        <f t="shared" si="25"/>
        <v>0</v>
      </c>
      <c r="H70" s="336">
        <f t="shared" si="26"/>
        <v>0</v>
      </c>
      <c r="I70" s="52">
        <f t="shared" si="5"/>
        <v>0</v>
      </c>
      <c r="J70" s="52"/>
      <c r="K70" s="115"/>
      <c r="L70" s="54">
        <f t="shared" si="1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23"/>
        <v>0</v>
      </c>
      <c r="F71" s="55">
        <f t="shared" si="24"/>
        <v>0</v>
      </c>
      <c r="G71" s="355">
        <f t="shared" si="25"/>
        <v>0</v>
      </c>
      <c r="H71" s="336">
        <f t="shared" si="26"/>
        <v>0</v>
      </c>
      <c r="I71" s="52">
        <f t="shared" si="5"/>
        <v>0</v>
      </c>
      <c r="J71" s="52"/>
      <c r="K71" s="115"/>
      <c r="L71" s="54">
        <f t="shared" si="1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.5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1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>
      <c r="C73" s="12" t="s">
        <v>77</v>
      </c>
      <c r="D73" s="266"/>
      <c r="E73" s="266">
        <f>SUM(E17:E72)</f>
        <v>1345382.62</v>
      </c>
      <c r="F73" s="266"/>
      <c r="G73" s="266">
        <f>SUM(G17:G72)</f>
        <v>4300666.2404748127</v>
      </c>
      <c r="H73" s="266">
        <f>SUM(H17:H72)</f>
        <v>4300666.2404748127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24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162476.40149029935</v>
      </c>
      <c r="N87" s="364">
        <f>IF(J92&lt;D11,0,VLOOKUP(J92,C17:O72,11))</f>
        <v>162476.40149029935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168881.06526210767</v>
      </c>
      <c r="N88" s="367">
        <f>IF(J92&lt;D11,0,VLOOKUP(J92,C99:P154,7))</f>
        <v>168881.06526210767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Duncan-Comanche Tap 69 KV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6404.6637718083221</v>
      </c>
      <c r="N89" s="369">
        <f>+N88-N87</f>
        <v>6404.6637718083221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TP2015191</v>
      </c>
      <c r="E91" s="74" t="str">
        <f>E9</f>
        <v xml:space="preserve">  SPP Project ID = 31009</v>
      </c>
      <c r="F91" s="74"/>
      <c r="G91" s="74"/>
      <c r="H91" s="74"/>
      <c r="I91" s="74"/>
      <c r="J91" s="74"/>
    </row>
    <row r="92" spans="1:16">
      <c r="C92" s="128" t="s">
        <v>226</v>
      </c>
      <c r="D92" s="372">
        <v>1345382.62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D11</f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D12</f>
        <v>5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36362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2018</v>
      </c>
      <c r="D99" s="411">
        <v>0</v>
      </c>
      <c r="E99" s="432">
        <v>15290</v>
      </c>
      <c r="F99" s="411">
        <v>1299649</v>
      </c>
      <c r="G99" s="432">
        <v>649824.5</v>
      </c>
      <c r="H99" s="414">
        <v>82050.088345518569</v>
      </c>
      <c r="I99" s="431">
        <v>82050.088345518569</v>
      </c>
      <c r="J99" s="54">
        <f>+I99-H99</f>
        <v>0</v>
      </c>
      <c r="K99" s="54"/>
      <c r="L99" s="53">
        <f>+H99</f>
        <v>82050.088345518569</v>
      </c>
      <c r="M99" s="53">
        <f t="shared" ref="M99" si="27">IF(L99&lt;&gt;0,+H99-L99,0)</f>
        <v>0</v>
      </c>
      <c r="N99" s="53">
        <f>+I99</f>
        <v>82050.088345518569</v>
      </c>
      <c r="O99" s="53">
        <f t="shared" ref="O99" si="28">IF(N99&lt;&gt;0,+I99-N99,0)</f>
        <v>0</v>
      </c>
      <c r="P99" s="53">
        <f t="shared" ref="P99" si="29">+O99-M99</f>
        <v>0</v>
      </c>
    </row>
    <row r="100" spans="1:16">
      <c r="B100" s="7" t="str">
        <f>IF(D100=F99,"","IU")</f>
        <v>IU</v>
      </c>
      <c r="C100" s="50">
        <f>IF(D93="","-",+C99+1)</f>
        <v>2019</v>
      </c>
      <c r="D100" s="411">
        <v>1330093</v>
      </c>
      <c r="E100" s="412">
        <v>32814</v>
      </c>
      <c r="F100" s="413">
        <v>1297279</v>
      </c>
      <c r="G100" s="413">
        <v>1313686</v>
      </c>
      <c r="H100" s="430">
        <v>168273.45246575892</v>
      </c>
      <c r="I100" s="431">
        <v>168273.45246575892</v>
      </c>
      <c r="J100" s="54">
        <f t="shared" ref="J100:J130" si="30">+I100-H100</f>
        <v>0</v>
      </c>
      <c r="K100" s="54"/>
      <c r="L100" s="350">
        <f>H100</f>
        <v>168273.45246575892</v>
      </c>
      <c r="M100" s="63">
        <f>IF(L100&lt;&gt;0,+H100-L100,0)</f>
        <v>0</v>
      </c>
      <c r="N100" s="350">
        <f>I100</f>
        <v>168273.45246575892</v>
      </c>
      <c r="O100" s="54">
        <f t="shared" ref="O100:O130" si="31">IF(N100&lt;&gt;0,+I100-N100,0)</f>
        <v>0</v>
      </c>
      <c r="P100" s="54">
        <f t="shared" ref="P100:P130" si="32">+O100-M100</f>
        <v>0</v>
      </c>
    </row>
    <row r="101" spans="1:16">
      <c r="B101" s="7" t="str">
        <f t="shared" ref="B101:B154" si="33">IF(D101=F100,"","IU")</f>
        <v/>
      </c>
      <c r="C101" s="50">
        <f>IF(D93="","-",+C100+1)</f>
        <v>2020</v>
      </c>
      <c r="D101" s="411">
        <v>1297279</v>
      </c>
      <c r="E101" s="412">
        <v>31288</v>
      </c>
      <c r="F101" s="413">
        <v>1265991</v>
      </c>
      <c r="G101" s="413">
        <v>1281635</v>
      </c>
      <c r="H101" s="430">
        <v>179056.99193510308</v>
      </c>
      <c r="I101" s="431">
        <v>179056.99193510308</v>
      </c>
      <c r="J101" s="54">
        <f t="shared" si="30"/>
        <v>0</v>
      </c>
      <c r="K101" s="54"/>
      <c r="L101" s="350">
        <f>H101</f>
        <v>179056.99193510308</v>
      </c>
      <c r="M101" s="63">
        <f>IF(L101&lt;&gt;0,+H101-L101,0)</f>
        <v>0</v>
      </c>
      <c r="N101" s="350">
        <f>I101</f>
        <v>179056.99193510308</v>
      </c>
      <c r="O101" s="54">
        <f t="shared" si="31"/>
        <v>0</v>
      </c>
      <c r="P101" s="54">
        <f t="shared" si="32"/>
        <v>0</v>
      </c>
    </row>
    <row r="102" spans="1:16">
      <c r="B102" s="7" t="str">
        <f t="shared" si="33"/>
        <v/>
      </c>
      <c r="C102" s="50">
        <f>IF(D93="","-",+C101+1)</f>
        <v>2021</v>
      </c>
      <c r="D102" s="411">
        <v>1265991</v>
      </c>
      <c r="E102" s="412">
        <v>32814</v>
      </c>
      <c r="F102" s="413">
        <v>1233177</v>
      </c>
      <c r="G102" s="413">
        <v>1249584</v>
      </c>
      <c r="H102" s="430">
        <v>175007.65348742867</v>
      </c>
      <c r="I102" s="431">
        <v>175007.65348742867</v>
      </c>
      <c r="J102" s="54">
        <f t="shared" si="30"/>
        <v>0</v>
      </c>
      <c r="K102" s="54"/>
      <c r="L102" s="350">
        <f>H102</f>
        <v>175007.65348742867</v>
      </c>
      <c r="M102" s="63">
        <f>IF(L102&lt;&gt;0,+H102-L102,0)</f>
        <v>0</v>
      </c>
      <c r="N102" s="350">
        <f>I102</f>
        <v>175007.65348742867</v>
      </c>
      <c r="O102" s="54">
        <f t="shared" si="31"/>
        <v>0</v>
      </c>
      <c r="P102" s="54">
        <f t="shared" si="32"/>
        <v>0</v>
      </c>
    </row>
    <row r="103" spans="1:16">
      <c r="B103" s="7" t="str">
        <f t="shared" si="33"/>
        <v>IU</v>
      </c>
      <c r="C103" s="50">
        <f>IF(D93="","-",+C102+1)</f>
        <v>2022</v>
      </c>
      <c r="D103" s="411">
        <v>1233176.6200000001</v>
      </c>
      <c r="E103" s="412">
        <v>35405</v>
      </c>
      <c r="F103" s="413">
        <v>1197771.6200000001</v>
      </c>
      <c r="G103" s="413">
        <v>1215474.1200000001</v>
      </c>
      <c r="H103" s="430">
        <v>174245.02679277575</v>
      </c>
      <c r="I103" s="431">
        <v>174245.02679277575</v>
      </c>
      <c r="J103" s="54">
        <f t="shared" si="30"/>
        <v>0</v>
      </c>
      <c r="K103" s="54"/>
      <c r="L103" s="350">
        <f t="shared" ref="L103:L104" si="34">H103</f>
        <v>174245.02679277575</v>
      </c>
      <c r="M103" s="63">
        <f t="shared" ref="M103:M104" si="35">IF(L103&lt;&gt;0,+H103-L103,0)</f>
        <v>0</v>
      </c>
      <c r="N103" s="350">
        <f t="shared" ref="N103:N104" si="36">I103</f>
        <v>174245.02679277575</v>
      </c>
      <c r="O103" s="54">
        <f t="shared" ref="O103:O104" si="37">IF(N103&lt;&gt;0,+I103-N103,0)</f>
        <v>0</v>
      </c>
      <c r="P103" s="54">
        <f t="shared" ref="P103:P104" si="38">+O103-M103</f>
        <v>0</v>
      </c>
    </row>
    <row r="104" spans="1:16">
      <c r="B104" s="7" t="str">
        <f t="shared" si="33"/>
        <v/>
      </c>
      <c r="C104" s="50">
        <f>IF(D93="","-",+C103+1)</f>
        <v>2023</v>
      </c>
      <c r="D104" s="411">
        <v>1197771.6200000001</v>
      </c>
      <c r="E104" s="412">
        <v>35405</v>
      </c>
      <c r="F104" s="413">
        <v>1162366.6200000001</v>
      </c>
      <c r="G104" s="413">
        <v>1180069.1200000001</v>
      </c>
      <c r="H104" s="430">
        <v>170200.81797934725</v>
      </c>
      <c r="I104" s="431">
        <v>170200.81797934725</v>
      </c>
      <c r="J104" s="54">
        <f t="shared" si="30"/>
        <v>0</v>
      </c>
      <c r="K104" s="54"/>
      <c r="L104" s="350">
        <f t="shared" si="34"/>
        <v>170200.81797934725</v>
      </c>
      <c r="M104" s="63">
        <f t="shared" si="35"/>
        <v>0</v>
      </c>
      <c r="N104" s="350">
        <f t="shared" si="36"/>
        <v>170200.81797934725</v>
      </c>
      <c r="O104" s="54">
        <f t="shared" si="37"/>
        <v>0</v>
      </c>
      <c r="P104" s="54">
        <f t="shared" si="38"/>
        <v>0</v>
      </c>
    </row>
    <row r="105" spans="1:16">
      <c r="B105" s="7" t="str">
        <f t="shared" si="33"/>
        <v/>
      </c>
      <c r="C105" s="50">
        <f>IF(D93="","-",+C104+1)</f>
        <v>2024</v>
      </c>
      <c r="D105" s="411">
        <v>1162366.6200000001</v>
      </c>
      <c r="E105" s="412">
        <v>36362</v>
      </c>
      <c r="F105" s="413">
        <v>1126004.6200000001</v>
      </c>
      <c r="G105" s="413">
        <v>1144185.6200000001</v>
      </c>
      <c r="H105" s="430">
        <v>190047.53620133514</v>
      </c>
      <c r="I105" s="431">
        <v>190047.53620133514</v>
      </c>
      <c r="J105" s="54">
        <f t="shared" si="30"/>
        <v>0</v>
      </c>
      <c r="K105" s="54"/>
      <c r="L105" s="350">
        <f t="shared" ref="L105" si="39">H105</f>
        <v>190047.53620133514</v>
      </c>
      <c r="M105" s="63">
        <f t="shared" ref="M105" si="40">IF(L105&lt;&gt;0,+H105-L105,0)</f>
        <v>0</v>
      </c>
      <c r="N105" s="350">
        <f t="shared" ref="N105" si="41">I105</f>
        <v>190047.53620133514</v>
      </c>
      <c r="O105" s="54">
        <f t="shared" ref="O105" si="42">IF(N105&lt;&gt;0,+I105-N105,0)</f>
        <v>0</v>
      </c>
      <c r="P105" s="54">
        <f t="shared" ref="P105" si="43">+O105-M105</f>
        <v>0</v>
      </c>
    </row>
    <row r="106" spans="1:16">
      <c r="B106" s="7" t="str">
        <f t="shared" si="33"/>
        <v/>
      </c>
      <c r="C106" s="50">
        <f>IF(D93="","-",+C105+1)</f>
        <v>2025</v>
      </c>
      <c r="D106" s="12">
        <f>IF(F105+SUM(E$99:E105)=D$92,F105,D$92-SUM(E$99:E105))</f>
        <v>1126004.6200000001</v>
      </c>
      <c r="E106" s="354">
        <f t="shared" ref="E106:E154" si="44">IF(+J$96&lt;F105,J$96,D106)</f>
        <v>36362</v>
      </c>
      <c r="F106" s="55">
        <f t="shared" ref="F106:F154" si="45">+D106-E106</f>
        <v>1089642.6200000001</v>
      </c>
      <c r="G106" s="55">
        <f t="shared" ref="G106:G154" si="46">+(F106+D106)/2</f>
        <v>1107823.6200000001</v>
      </c>
      <c r="H106" s="355">
        <f t="shared" ref="H106:H153" si="47">(D106+F106)/2*J$94+E106</f>
        <v>168881.06526210767</v>
      </c>
      <c r="I106" s="381">
        <f t="shared" ref="I106:I153" si="48">+J$95*G106+E106</f>
        <v>168881.06526210767</v>
      </c>
      <c r="J106" s="54">
        <f t="shared" si="30"/>
        <v>0</v>
      </c>
      <c r="K106" s="54"/>
      <c r="L106" s="115"/>
      <c r="M106" s="54">
        <f t="shared" ref="M106:M130" si="49">IF(L106&lt;&gt;0,+H106-L106,0)</f>
        <v>0</v>
      </c>
      <c r="N106" s="115"/>
      <c r="O106" s="54">
        <f t="shared" si="31"/>
        <v>0</v>
      </c>
      <c r="P106" s="54">
        <f t="shared" si="32"/>
        <v>0</v>
      </c>
    </row>
    <row r="107" spans="1:16">
      <c r="B107" s="7" t="str">
        <f t="shared" si="33"/>
        <v/>
      </c>
      <c r="C107" s="50">
        <f>IF(D93="","-",+C106+1)</f>
        <v>2026</v>
      </c>
      <c r="D107" s="12">
        <f>IF(F106+SUM(E$99:E106)=D$92,F106,D$92-SUM(E$99:E106))</f>
        <v>1089642.6200000001</v>
      </c>
      <c r="E107" s="354">
        <f t="shared" si="44"/>
        <v>36362</v>
      </c>
      <c r="F107" s="55">
        <f t="shared" si="45"/>
        <v>1053280.6200000001</v>
      </c>
      <c r="G107" s="55">
        <f t="shared" si="46"/>
        <v>1071461.6200000001</v>
      </c>
      <c r="H107" s="355">
        <f t="shared" si="47"/>
        <v>164531.40330864547</v>
      </c>
      <c r="I107" s="381">
        <f t="shared" si="48"/>
        <v>164531.40330864547</v>
      </c>
      <c r="J107" s="54">
        <f t="shared" si="30"/>
        <v>0</v>
      </c>
      <c r="K107" s="54"/>
      <c r="L107" s="115"/>
      <c r="M107" s="54">
        <f t="shared" si="49"/>
        <v>0</v>
      </c>
      <c r="N107" s="115"/>
      <c r="O107" s="54">
        <f t="shared" si="31"/>
        <v>0</v>
      </c>
      <c r="P107" s="54">
        <f t="shared" si="32"/>
        <v>0</v>
      </c>
    </row>
    <row r="108" spans="1:16">
      <c r="B108" s="7" t="str">
        <f t="shared" si="33"/>
        <v/>
      </c>
      <c r="C108" s="50">
        <f>IF(D93="","-",+C107+1)</f>
        <v>2027</v>
      </c>
      <c r="D108" s="12">
        <f>IF(F107+SUM(E$99:E107)=D$92,F107,D$92-SUM(E$99:E107))</f>
        <v>1053280.6200000001</v>
      </c>
      <c r="E108" s="354">
        <f t="shared" si="44"/>
        <v>36362</v>
      </c>
      <c r="F108" s="55">
        <f t="shared" si="45"/>
        <v>1016918.6200000001</v>
      </c>
      <c r="G108" s="55">
        <f t="shared" si="46"/>
        <v>1035099.6200000001</v>
      </c>
      <c r="H108" s="355">
        <f t="shared" si="47"/>
        <v>160181.7413551833</v>
      </c>
      <c r="I108" s="381">
        <f t="shared" si="48"/>
        <v>160181.7413551833</v>
      </c>
      <c r="J108" s="54">
        <f t="shared" si="30"/>
        <v>0</v>
      </c>
      <c r="K108" s="54"/>
      <c r="L108" s="115"/>
      <c r="M108" s="54">
        <f t="shared" si="49"/>
        <v>0</v>
      </c>
      <c r="N108" s="115"/>
      <c r="O108" s="54">
        <f t="shared" si="31"/>
        <v>0</v>
      </c>
      <c r="P108" s="54">
        <f t="shared" si="32"/>
        <v>0</v>
      </c>
    </row>
    <row r="109" spans="1:16">
      <c r="B109" s="7" t="str">
        <f t="shared" si="33"/>
        <v/>
      </c>
      <c r="C109" s="50">
        <f>IF(D93="","-",+C108+1)</f>
        <v>2028</v>
      </c>
      <c r="D109" s="12">
        <f>IF(F108+SUM(E$99:E108)=D$92,F108,D$92-SUM(E$99:E108))</f>
        <v>1016918.6200000001</v>
      </c>
      <c r="E109" s="354">
        <f t="shared" si="44"/>
        <v>36362</v>
      </c>
      <c r="F109" s="55">
        <f t="shared" si="45"/>
        <v>980556.62000000011</v>
      </c>
      <c r="G109" s="55">
        <f t="shared" si="46"/>
        <v>998737.62000000011</v>
      </c>
      <c r="H109" s="355">
        <f t="shared" si="47"/>
        <v>155832.0794017211</v>
      </c>
      <c r="I109" s="381">
        <f t="shared" si="48"/>
        <v>155832.0794017211</v>
      </c>
      <c r="J109" s="54">
        <f t="shared" si="30"/>
        <v>0</v>
      </c>
      <c r="K109" s="54"/>
      <c r="L109" s="115"/>
      <c r="M109" s="54">
        <f t="shared" si="49"/>
        <v>0</v>
      </c>
      <c r="N109" s="115"/>
      <c r="O109" s="54">
        <f t="shared" si="31"/>
        <v>0</v>
      </c>
      <c r="P109" s="54">
        <f t="shared" si="32"/>
        <v>0</v>
      </c>
    </row>
    <row r="110" spans="1:16">
      <c r="B110" s="7" t="str">
        <f t="shared" si="33"/>
        <v/>
      </c>
      <c r="C110" s="50">
        <f>IF(D93="","-",+C109+1)</f>
        <v>2029</v>
      </c>
      <c r="D110" s="12">
        <f>IF(F109+SUM(E$99:E109)=D$92,F109,D$92-SUM(E$99:E109))</f>
        <v>980556.62000000011</v>
      </c>
      <c r="E110" s="354">
        <f t="shared" si="44"/>
        <v>36362</v>
      </c>
      <c r="F110" s="55">
        <f t="shared" si="45"/>
        <v>944194.62000000011</v>
      </c>
      <c r="G110" s="55">
        <f t="shared" si="46"/>
        <v>962375.62000000011</v>
      </c>
      <c r="H110" s="355">
        <f t="shared" si="47"/>
        <v>151482.4174482589</v>
      </c>
      <c r="I110" s="381">
        <f t="shared" si="48"/>
        <v>151482.4174482589</v>
      </c>
      <c r="J110" s="54">
        <f t="shared" si="30"/>
        <v>0</v>
      </c>
      <c r="K110" s="54"/>
      <c r="L110" s="115"/>
      <c r="M110" s="54">
        <f t="shared" si="49"/>
        <v>0</v>
      </c>
      <c r="N110" s="115"/>
      <c r="O110" s="54">
        <f t="shared" si="31"/>
        <v>0</v>
      </c>
      <c r="P110" s="54">
        <f t="shared" si="32"/>
        <v>0</v>
      </c>
    </row>
    <row r="111" spans="1:16">
      <c r="B111" s="7" t="str">
        <f t="shared" si="33"/>
        <v/>
      </c>
      <c r="C111" s="50">
        <f>IF(D93="","-",+C110+1)</f>
        <v>2030</v>
      </c>
      <c r="D111" s="12">
        <f>IF(F110+SUM(E$99:E110)=D$92,F110,D$92-SUM(E$99:E110))</f>
        <v>944194.62000000011</v>
      </c>
      <c r="E111" s="354">
        <f t="shared" si="44"/>
        <v>36362</v>
      </c>
      <c r="F111" s="55">
        <f t="shared" si="45"/>
        <v>907832.62000000011</v>
      </c>
      <c r="G111" s="55">
        <f t="shared" si="46"/>
        <v>926013.62000000011</v>
      </c>
      <c r="H111" s="355">
        <f t="shared" si="47"/>
        <v>147132.75549479673</v>
      </c>
      <c r="I111" s="381">
        <f t="shared" si="48"/>
        <v>147132.75549479673</v>
      </c>
      <c r="J111" s="54">
        <f t="shared" si="30"/>
        <v>0</v>
      </c>
      <c r="K111" s="54"/>
      <c r="L111" s="115"/>
      <c r="M111" s="54">
        <f t="shared" si="49"/>
        <v>0</v>
      </c>
      <c r="N111" s="115"/>
      <c r="O111" s="54">
        <f t="shared" si="31"/>
        <v>0</v>
      </c>
      <c r="P111" s="54">
        <f t="shared" si="32"/>
        <v>0</v>
      </c>
    </row>
    <row r="112" spans="1:16">
      <c r="B112" s="7" t="str">
        <f t="shared" si="33"/>
        <v/>
      </c>
      <c r="C112" s="50">
        <f>IF(D93="","-",+C111+1)</f>
        <v>2031</v>
      </c>
      <c r="D112" s="12">
        <f>IF(F111+SUM(E$99:E111)=D$92,F111,D$92-SUM(E$99:E111))</f>
        <v>907832.62000000011</v>
      </c>
      <c r="E112" s="354">
        <f t="shared" si="44"/>
        <v>36362</v>
      </c>
      <c r="F112" s="55">
        <f t="shared" si="45"/>
        <v>871470.62000000011</v>
      </c>
      <c r="G112" s="55">
        <f t="shared" si="46"/>
        <v>889651.62000000011</v>
      </c>
      <c r="H112" s="355">
        <f t="shared" si="47"/>
        <v>142783.0935413345</v>
      </c>
      <c r="I112" s="381">
        <f t="shared" si="48"/>
        <v>142783.0935413345</v>
      </c>
      <c r="J112" s="54">
        <f t="shared" si="30"/>
        <v>0</v>
      </c>
      <c r="K112" s="54"/>
      <c r="L112" s="115"/>
      <c r="M112" s="54">
        <f t="shared" si="49"/>
        <v>0</v>
      </c>
      <c r="N112" s="115"/>
      <c r="O112" s="54">
        <f t="shared" si="31"/>
        <v>0</v>
      </c>
      <c r="P112" s="54">
        <f t="shared" si="32"/>
        <v>0</v>
      </c>
    </row>
    <row r="113" spans="2:16">
      <c r="B113" s="7" t="str">
        <f t="shared" si="33"/>
        <v/>
      </c>
      <c r="C113" s="50">
        <f>IF(D93="","-",+C112+1)</f>
        <v>2032</v>
      </c>
      <c r="D113" s="12">
        <f>IF(F112+SUM(E$99:E112)=D$92,F112,D$92-SUM(E$99:E112))</f>
        <v>871470.62000000011</v>
      </c>
      <c r="E113" s="354">
        <f t="shared" si="44"/>
        <v>36362</v>
      </c>
      <c r="F113" s="55">
        <f t="shared" si="45"/>
        <v>835108.62000000011</v>
      </c>
      <c r="G113" s="55">
        <f t="shared" si="46"/>
        <v>853289.62000000011</v>
      </c>
      <c r="H113" s="355">
        <f t="shared" si="47"/>
        <v>138433.43158787233</v>
      </c>
      <c r="I113" s="381">
        <f t="shared" si="48"/>
        <v>138433.43158787233</v>
      </c>
      <c r="J113" s="54">
        <f t="shared" si="30"/>
        <v>0</v>
      </c>
      <c r="K113" s="54"/>
      <c r="L113" s="115"/>
      <c r="M113" s="54">
        <f t="shared" si="49"/>
        <v>0</v>
      </c>
      <c r="N113" s="115"/>
      <c r="O113" s="54">
        <f t="shared" si="31"/>
        <v>0</v>
      </c>
      <c r="P113" s="54">
        <f t="shared" si="32"/>
        <v>0</v>
      </c>
    </row>
    <row r="114" spans="2:16">
      <c r="B114" s="7" t="str">
        <f t="shared" si="33"/>
        <v/>
      </c>
      <c r="C114" s="50">
        <f>IF(D93="","-",+C113+1)</f>
        <v>2033</v>
      </c>
      <c r="D114" s="12">
        <f>IF(F113+SUM(E$99:E113)=D$92,F113,D$92-SUM(E$99:E113))</f>
        <v>835108.62000000011</v>
      </c>
      <c r="E114" s="354">
        <f t="shared" si="44"/>
        <v>36362</v>
      </c>
      <c r="F114" s="55">
        <f t="shared" si="45"/>
        <v>798746.62000000011</v>
      </c>
      <c r="G114" s="55">
        <f t="shared" si="46"/>
        <v>816927.62000000011</v>
      </c>
      <c r="H114" s="355">
        <f t="shared" si="47"/>
        <v>134083.76963441013</v>
      </c>
      <c r="I114" s="381">
        <f t="shared" si="48"/>
        <v>134083.76963441013</v>
      </c>
      <c r="J114" s="54">
        <f t="shared" si="30"/>
        <v>0</v>
      </c>
      <c r="K114" s="54"/>
      <c r="L114" s="115"/>
      <c r="M114" s="54">
        <f t="shared" si="49"/>
        <v>0</v>
      </c>
      <c r="N114" s="115"/>
      <c r="O114" s="54">
        <f t="shared" si="31"/>
        <v>0</v>
      </c>
      <c r="P114" s="54">
        <f t="shared" si="32"/>
        <v>0</v>
      </c>
    </row>
    <row r="115" spans="2:16">
      <c r="B115" s="7" t="str">
        <f t="shared" si="33"/>
        <v/>
      </c>
      <c r="C115" s="50">
        <f>IF(D93="","-",+C114+1)</f>
        <v>2034</v>
      </c>
      <c r="D115" s="12">
        <f>IF(F114+SUM(E$99:E114)=D$92,F114,D$92-SUM(E$99:E114))</f>
        <v>798746.62000000011</v>
      </c>
      <c r="E115" s="354">
        <f t="shared" si="44"/>
        <v>36362</v>
      </c>
      <c r="F115" s="55">
        <f t="shared" si="45"/>
        <v>762384.62000000011</v>
      </c>
      <c r="G115" s="55">
        <f t="shared" si="46"/>
        <v>780565.62000000011</v>
      </c>
      <c r="H115" s="355">
        <f t="shared" si="47"/>
        <v>129734.10768094794</v>
      </c>
      <c r="I115" s="381">
        <f t="shared" si="48"/>
        <v>129734.10768094794</v>
      </c>
      <c r="J115" s="54">
        <f t="shared" si="30"/>
        <v>0</v>
      </c>
      <c r="K115" s="54"/>
      <c r="L115" s="115"/>
      <c r="M115" s="54">
        <f t="shared" si="49"/>
        <v>0</v>
      </c>
      <c r="N115" s="115"/>
      <c r="O115" s="54">
        <f t="shared" si="31"/>
        <v>0</v>
      </c>
      <c r="P115" s="54">
        <f t="shared" si="32"/>
        <v>0</v>
      </c>
    </row>
    <row r="116" spans="2:16">
      <c r="B116" s="7" t="str">
        <f t="shared" si="33"/>
        <v/>
      </c>
      <c r="C116" s="50">
        <f>IF(D93="","-",+C115+1)</f>
        <v>2035</v>
      </c>
      <c r="D116" s="12">
        <f>IF(F115+SUM(E$99:E115)=D$92,F115,D$92-SUM(E$99:E115))</f>
        <v>762384.62000000011</v>
      </c>
      <c r="E116" s="354">
        <f t="shared" si="44"/>
        <v>36362</v>
      </c>
      <c r="F116" s="55">
        <f t="shared" si="45"/>
        <v>726022.62000000011</v>
      </c>
      <c r="G116" s="55">
        <f t="shared" si="46"/>
        <v>744203.62000000011</v>
      </c>
      <c r="H116" s="355">
        <f t="shared" si="47"/>
        <v>125384.44572748574</v>
      </c>
      <c r="I116" s="381">
        <f t="shared" si="48"/>
        <v>125384.44572748574</v>
      </c>
      <c r="J116" s="54">
        <f t="shared" si="30"/>
        <v>0</v>
      </c>
      <c r="K116" s="54"/>
      <c r="L116" s="115"/>
      <c r="M116" s="54">
        <f t="shared" si="49"/>
        <v>0</v>
      </c>
      <c r="N116" s="115"/>
      <c r="O116" s="54">
        <f t="shared" si="31"/>
        <v>0</v>
      </c>
      <c r="P116" s="54">
        <f t="shared" si="32"/>
        <v>0</v>
      </c>
    </row>
    <row r="117" spans="2:16">
      <c r="B117" s="7" t="str">
        <f t="shared" si="33"/>
        <v/>
      </c>
      <c r="C117" s="50">
        <f>IF(D93="","-",+C116+1)</f>
        <v>2036</v>
      </c>
      <c r="D117" s="12">
        <f>IF(F116+SUM(E$99:E116)=D$92,F116,D$92-SUM(E$99:E116))</f>
        <v>726022.62000000011</v>
      </c>
      <c r="E117" s="354">
        <f t="shared" si="44"/>
        <v>36362</v>
      </c>
      <c r="F117" s="55">
        <f t="shared" si="45"/>
        <v>689660.62000000011</v>
      </c>
      <c r="G117" s="55">
        <f t="shared" si="46"/>
        <v>707841.62000000011</v>
      </c>
      <c r="H117" s="355">
        <f t="shared" si="47"/>
        <v>121034.78377402354</v>
      </c>
      <c r="I117" s="381">
        <f t="shared" si="48"/>
        <v>121034.78377402354</v>
      </c>
      <c r="J117" s="54">
        <f t="shared" si="30"/>
        <v>0</v>
      </c>
      <c r="K117" s="54"/>
      <c r="L117" s="115"/>
      <c r="M117" s="54">
        <f t="shared" si="49"/>
        <v>0</v>
      </c>
      <c r="N117" s="115"/>
      <c r="O117" s="54">
        <f t="shared" si="31"/>
        <v>0</v>
      </c>
      <c r="P117" s="54">
        <f t="shared" si="32"/>
        <v>0</v>
      </c>
    </row>
    <row r="118" spans="2:16">
      <c r="B118" s="7" t="str">
        <f t="shared" si="33"/>
        <v/>
      </c>
      <c r="C118" s="50">
        <f>IF(D93="","-",+C117+1)</f>
        <v>2037</v>
      </c>
      <c r="D118" s="12">
        <f>IF(F117+SUM(E$99:E117)=D$92,F117,D$92-SUM(E$99:E117))</f>
        <v>689660.62000000011</v>
      </c>
      <c r="E118" s="354">
        <f t="shared" si="44"/>
        <v>36362</v>
      </c>
      <c r="F118" s="55">
        <f t="shared" si="45"/>
        <v>653298.62000000011</v>
      </c>
      <c r="G118" s="55">
        <f t="shared" si="46"/>
        <v>671479.62000000011</v>
      </c>
      <c r="H118" s="355">
        <f t="shared" si="47"/>
        <v>116685.12182056135</v>
      </c>
      <c r="I118" s="381">
        <f t="shared" si="48"/>
        <v>116685.12182056135</v>
      </c>
      <c r="J118" s="54">
        <f t="shared" si="30"/>
        <v>0</v>
      </c>
      <c r="K118" s="54"/>
      <c r="L118" s="115"/>
      <c r="M118" s="54">
        <f t="shared" si="49"/>
        <v>0</v>
      </c>
      <c r="N118" s="115"/>
      <c r="O118" s="54">
        <f t="shared" si="31"/>
        <v>0</v>
      </c>
      <c r="P118" s="54">
        <f t="shared" si="32"/>
        <v>0</v>
      </c>
    </row>
    <row r="119" spans="2:16">
      <c r="B119" s="7" t="str">
        <f t="shared" si="33"/>
        <v/>
      </c>
      <c r="C119" s="50">
        <f>IF(D93="","-",+C118+1)</f>
        <v>2038</v>
      </c>
      <c r="D119" s="12">
        <f>IF(F118+SUM(E$99:E118)=D$92,F118,D$92-SUM(E$99:E118))</f>
        <v>653298.62000000011</v>
      </c>
      <c r="E119" s="354">
        <f t="shared" si="44"/>
        <v>36362</v>
      </c>
      <c r="F119" s="55">
        <f t="shared" si="45"/>
        <v>616936.62000000011</v>
      </c>
      <c r="G119" s="55">
        <f t="shared" si="46"/>
        <v>635117.62000000011</v>
      </c>
      <c r="H119" s="355">
        <f t="shared" si="47"/>
        <v>112335.45986709915</v>
      </c>
      <c r="I119" s="381">
        <f t="shared" si="48"/>
        <v>112335.45986709915</v>
      </c>
      <c r="J119" s="54">
        <f t="shared" si="30"/>
        <v>0</v>
      </c>
      <c r="K119" s="54"/>
      <c r="L119" s="115"/>
      <c r="M119" s="54">
        <f t="shared" si="49"/>
        <v>0</v>
      </c>
      <c r="N119" s="115"/>
      <c r="O119" s="54">
        <f t="shared" si="31"/>
        <v>0</v>
      </c>
      <c r="P119" s="54">
        <f t="shared" si="32"/>
        <v>0</v>
      </c>
    </row>
    <row r="120" spans="2:16">
      <c r="B120" s="7" t="str">
        <f t="shared" si="33"/>
        <v/>
      </c>
      <c r="C120" s="50">
        <f>IF(D93="","-",+C119+1)</f>
        <v>2039</v>
      </c>
      <c r="D120" s="12">
        <f>IF(F119+SUM(E$99:E119)=D$92,F119,D$92-SUM(E$99:E119))</f>
        <v>616936.62000000011</v>
      </c>
      <c r="E120" s="354">
        <f t="shared" si="44"/>
        <v>36362</v>
      </c>
      <c r="F120" s="55">
        <f t="shared" si="45"/>
        <v>580574.62000000011</v>
      </c>
      <c r="G120" s="55">
        <f t="shared" si="46"/>
        <v>598755.62000000011</v>
      </c>
      <c r="H120" s="355">
        <f t="shared" si="47"/>
        <v>107985.79791363697</v>
      </c>
      <c r="I120" s="381">
        <f t="shared" si="48"/>
        <v>107985.79791363697</v>
      </c>
      <c r="J120" s="54">
        <f t="shared" si="30"/>
        <v>0</v>
      </c>
      <c r="K120" s="54"/>
      <c r="L120" s="115"/>
      <c r="M120" s="54">
        <f t="shared" si="49"/>
        <v>0</v>
      </c>
      <c r="N120" s="115"/>
      <c r="O120" s="54">
        <f t="shared" si="31"/>
        <v>0</v>
      </c>
      <c r="P120" s="54">
        <f t="shared" si="32"/>
        <v>0</v>
      </c>
    </row>
    <row r="121" spans="2:16">
      <c r="B121" s="7" t="str">
        <f t="shared" si="33"/>
        <v/>
      </c>
      <c r="C121" s="50">
        <f>IF(D93="","-",+C120+1)</f>
        <v>2040</v>
      </c>
      <c r="D121" s="12">
        <f>IF(F120+SUM(E$99:E120)=D$92,F120,D$92-SUM(E$99:E120))</f>
        <v>580574.62000000011</v>
      </c>
      <c r="E121" s="354">
        <f t="shared" si="44"/>
        <v>36362</v>
      </c>
      <c r="F121" s="55">
        <f t="shared" si="45"/>
        <v>544212.62000000011</v>
      </c>
      <c r="G121" s="55">
        <f t="shared" si="46"/>
        <v>562393.62000000011</v>
      </c>
      <c r="H121" s="355">
        <f t="shared" si="47"/>
        <v>103636.13596017477</v>
      </c>
      <c r="I121" s="381">
        <f t="shared" si="48"/>
        <v>103636.13596017477</v>
      </c>
      <c r="J121" s="54">
        <f t="shared" si="30"/>
        <v>0</v>
      </c>
      <c r="K121" s="54"/>
      <c r="L121" s="115"/>
      <c r="M121" s="54">
        <f t="shared" si="49"/>
        <v>0</v>
      </c>
      <c r="N121" s="115"/>
      <c r="O121" s="54">
        <f t="shared" si="31"/>
        <v>0</v>
      </c>
      <c r="P121" s="54">
        <f t="shared" si="32"/>
        <v>0</v>
      </c>
    </row>
    <row r="122" spans="2:16">
      <c r="B122" s="7" t="str">
        <f t="shared" si="33"/>
        <v/>
      </c>
      <c r="C122" s="50">
        <f>IF(D93="","-",+C121+1)</f>
        <v>2041</v>
      </c>
      <c r="D122" s="12">
        <f>IF(F121+SUM(E$99:E121)=D$92,F121,D$92-SUM(E$99:E121))</f>
        <v>544212.62000000011</v>
      </c>
      <c r="E122" s="354">
        <f t="shared" si="44"/>
        <v>36362</v>
      </c>
      <c r="F122" s="55">
        <f t="shared" si="45"/>
        <v>507850.62000000011</v>
      </c>
      <c r="G122" s="55">
        <f t="shared" si="46"/>
        <v>526031.62000000011</v>
      </c>
      <c r="H122" s="355">
        <f t="shared" si="47"/>
        <v>99286.474006712582</v>
      </c>
      <c r="I122" s="381">
        <f t="shared" si="48"/>
        <v>99286.474006712582</v>
      </c>
      <c r="J122" s="54">
        <f t="shared" si="30"/>
        <v>0</v>
      </c>
      <c r="K122" s="54"/>
      <c r="L122" s="115"/>
      <c r="M122" s="54">
        <f t="shared" si="49"/>
        <v>0</v>
      </c>
      <c r="N122" s="115"/>
      <c r="O122" s="54">
        <f t="shared" si="31"/>
        <v>0</v>
      </c>
      <c r="P122" s="54">
        <f t="shared" si="32"/>
        <v>0</v>
      </c>
    </row>
    <row r="123" spans="2:16">
      <c r="B123" s="7" t="str">
        <f t="shared" si="33"/>
        <v/>
      </c>
      <c r="C123" s="50">
        <f>IF(D93="","-",+C122+1)</f>
        <v>2042</v>
      </c>
      <c r="D123" s="12">
        <f>IF(F122+SUM(E$99:E122)=D$92,F122,D$92-SUM(E$99:E122))</f>
        <v>507850.62000000011</v>
      </c>
      <c r="E123" s="354">
        <f t="shared" si="44"/>
        <v>36362</v>
      </c>
      <c r="F123" s="55">
        <f t="shared" si="45"/>
        <v>471488.62000000011</v>
      </c>
      <c r="G123" s="55">
        <f t="shared" si="46"/>
        <v>489669.62000000011</v>
      </c>
      <c r="H123" s="355">
        <f t="shared" si="47"/>
        <v>94936.812053250382</v>
      </c>
      <c r="I123" s="381">
        <f t="shared" si="48"/>
        <v>94936.812053250382</v>
      </c>
      <c r="J123" s="54">
        <f t="shared" si="30"/>
        <v>0</v>
      </c>
      <c r="K123" s="54"/>
      <c r="L123" s="115"/>
      <c r="M123" s="54">
        <f t="shared" si="49"/>
        <v>0</v>
      </c>
      <c r="N123" s="115"/>
      <c r="O123" s="54">
        <f t="shared" si="31"/>
        <v>0</v>
      </c>
      <c r="P123" s="54">
        <f t="shared" si="32"/>
        <v>0</v>
      </c>
    </row>
    <row r="124" spans="2:16">
      <c r="B124" s="7" t="str">
        <f t="shared" si="33"/>
        <v/>
      </c>
      <c r="C124" s="50">
        <f>IF(D93="","-",+C123+1)</f>
        <v>2043</v>
      </c>
      <c r="D124" s="12">
        <f>IF(F123+SUM(E$99:E123)=D$92,F123,D$92-SUM(E$99:E123))</f>
        <v>471488.62000000011</v>
      </c>
      <c r="E124" s="354">
        <f t="shared" si="44"/>
        <v>36362</v>
      </c>
      <c r="F124" s="55">
        <f t="shared" si="45"/>
        <v>435126.62000000011</v>
      </c>
      <c r="G124" s="55">
        <f t="shared" si="46"/>
        <v>453307.62000000011</v>
      </c>
      <c r="H124" s="355">
        <f t="shared" si="47"/>
        <v>90587.150099788196</v>
      </c>
      <c r="I124" s="381">
        <f t="shared" si="48"/>
        <v>90587.150099788196</v>
      </c>
      <c r="J124" s="54">
        <f t="shared" si="30"/>
        <v>0</v>
      </c>
      <c r="K124" s="54"/>
      <c r="L124" s="115"/>
      <c r="M124" s="54">
        <f t="shared" si="49"/>
        <v>0</v>
      </c>
      <c r="N124" s="115"/>
      <c r="O124" s="54">
        <f t="shared" si="31"/>
        <v>0</v>
      </c>
      <c r="P124" s="54">
        <f t="shared" si="32"/>
        <v>0</v>
      </c>
    </row>
    <row r="125" spans="2:16">
      <c r="B125" s="7" t="str">
        <f t="shared" si="33"/>
        <v/>
      </c>
      <c r="C125" s="50">
        <f>IF(D93="","-",+C124+1)</f>
        <v>2044</v>
      </c>
      <c r="D125" s="12">
        <f>IF(F124+SUM(E$99:E124)=D$92,F124,D$92-SUM(E$99:E124))</f>
        <v>435126.62000000011</v>
      </c>
      <c r="E125" s="354">
        <f t="shared" si="44"/>
        <v>36362</v>
      </c>
      <c r="F125" s="55">
        <f t="shared" si="45"/>
        <v>398764.62000000011</v>
      </c>
      <c r="G125" s="55">
        <f t="shared" si="46"/>
        <v>416945.62000000011</v>
      </c>
      <c r="H125" s="355">
        <f t="shared" si="47"/>
        <v>86237.488146325995</v>
      </c>
      <c r="I125" s="381">
        <f t="shared" si="48"/>
        <v>86237.488146325995</v>
      </c>
      <c r="J125" s="54">
        <f t="shared" si="30"/>
        <v>0</v>
      </c>
      <c r="K125" s="54"/>
      <c r="L125" s="115"/>
      <c r="M125" s="54">
        <f t="shared" si="49"/>
        <v>0</v>
      </c>
      <c r="N125" s="115"/>
      <c r="O125" s="54">
        <f t="shared" si="31"/>
        <v>0</v>
      </c>
      <c r="P125" s="54">
        <f t="shared" si="32"/>
        <v>0</v>
      </c>
    </row>
    <row r="126" spans="2:16">
      <c r="B126" s="7" t="str">
        <f t="shared" si="33"/>
        <v/>
      </c>
      <c r="C126" s="50">
        <f>IF(D93="","-",+C125+1)</f>
        <v>2045</v>
      </c>
      <c r="D126" s="12">
        <f>IF(F125+SUM(E$99:E125)=D$92,F125,D$92-SUM(E$99:E125))</f>
        <v>398764.62000000011</v>
      </c>
      <c r="E126" s="354">
        <f t="shared" si="44"/>
        <v>36362</v>
      </c>
      <c r="F126" s="55">
        <f t="shared" si="45"/>
        <v>362402.62000000011</v>
      </c>
      <c r="G126" s="55">
        <f t="shared" si="46"/>
        <v>380583.62000000011</v>
      </c>
      <c r="H126" s="355">
        <f t="shared" si="47"/>
        <v>81887.826192863809</v>
      </c>
      <c r="I126" s="381">
        <f t="shared" si="48"/>
        <v>81887.826192863809</v>
      </c>
      <c r="J126" s="54">
        <f t="shared" si="30"/>
        <v>0</v>
      </c>
      <c r="K126" s="54"/>
      <c r="L126" s="115"/>
      <c r="M126" s="54">
        <f t="shared" si="49"/>
        <v>0</v>
      </c>
      <c r="N126" s="115"/>
      <c r="O126" s="54">
        <f t="shared" si="31"/>
        <v>0</v>
      </c>
      <c r="P126" s="54">
        <f t="shared" si="32"/>
        <v>0</v>
      </c>
    </row>
    <row r="127" spans="2:16">
      <c r="B127" s="7" t="str">
        <f t="shared" si="33"/>
        <v/>
      </c>
      <c r="C127" s="50">
        <f>IF(D93="","-",+C126+1)</f>
        <v>2046</v>
      </c>
      <c r="D127" s="12">
        <f>IF(F126+SUM(E$99:E126)=D$92,F126,D$92-SUM(E$99:E126))</f>
        <v>362402.62000000011</v>
      </c>
      <c r="E127" s="354">
        <f t="shared" si="44"/>
        <v>36362</v>
      </c>
      <c r="F127" s="55">
        <f t="shared" si="45"/>
        <v>326040.62000000011</v>
      </c>
      <c r="G127" s="55">
        <f t="shared" si="46"/>
        <v>344221.62000000011</v>
      </c>
      <c r="H127" s="355">
        <f t="shared" si="47"/>
        <v>77538.164239401609</v>
      </c>
      <c r="I127" s="381">
        <f t="shared" si="48"/>
        <v>77538.164239401609</v>
      </c>
      <c r="J127" s="54">
        <f t="shared" si="30"/>
        <v>0</v>
      </c>
      <c r="K127" s="54"/>
      <c r="L127" s="115"/>
      <c r="M127" s="54">
        <f t="shared" si="49"/>
        <v>0</v>
      </c>
      <c r="N127" s="115"/>
      <c r="O127" s="54">
        <f t="shared" si="31"/>
        <v>0</v>
      </c>
      <c r="P127" s="54">
        <f t="shared" si="32"/>
        <v>0</v>
      </c>
    </row>
    <row r="128" spans="2:16">
      <c r="B128" s="7" t="str">
        <f t="shared" si="33"/>
        <v/>
      </c>
      <c r="C128" s="50">
        <f>IF(D93="","-",+C127+1)</f>
        <v>2047</v>
      </c>
      <c r="D128" s="12">
        <f>IF(F127+SUM(E$99:E127)=D$92,F127,D$92-SUM(E$99:E127))</f>
        <v>326040.62000000011</v>
      </c>
      <c r="E128" s="354">
        <f t="shared" si="44"/>
        <v>36362</v>
      </c>
      <c r="F128" s="55">
        <f t="shared" si="45"/>
        <v>289678.62000000011</v>
      </c>
      <c r="G128" s="55">
        <f t="shared" si="46"/>
        <v>307859.62000000011</v>
      </c>
      <c r="H128" s="355">
        <f t="shared" si="47"/>
        <v>73188.502285939408</v>
      </c>
      <c r="I128" s="381">
        <f t="shared" si="48"/>
        <v>73188.502285939408</v>
      </c>
      <c r="J128" s="54">
        <f t="shared" si="30"/>
        <v>0</v>
      </c>
      <c r="K128" s="54"/>
      <c r="L128" s="115"/>
      <c r="M128" s="54">
        <f t="shared" si="49"/>
        <v>0</v>
      </c>
      <c r="N128" s="115"/>
      <c r="O128" s="54">
        <f t="shared" si="31"/>
        <v>0</v>
      </c>
      <c r="P128" s="54">
        <f t="shared" si="32"/>
        <v>0</v>
      </c>
    </row>
    <row r="129" spans="2:16">
      <c r="B129" s="7" t="str">
        <f t="shared" si="33"/>
        <v/>
      </c>
      <c r="C129" s="50">
        <f>IF(D93="","-",+C128+1)</f>
        <v>2048</v>
      </c>
      <c r="D129" s="12">
        <f>IF(F128+SUM(E$99:E128)=D$92,F128,D$92-SUM(E$99:E128))</f>
        <v>289678.62000000011</v>
      </c>
      <c r="E129" s="354">
        <f t="shared" si="44"/>
        <v>36362</v>
      </c>
      <c r="F129" s="55">
        <f t="shared" si="45"/>
        <v>253316.62000000011</v>
      </c>
      <c r="G129" s="55">
        <f t="shared" si="46"/>
        <v>271497.62000000011</v>
      </c>
      <c r="H129" s="355">
        <f t="shared" si="47"/>
        <v>68838.840332477223</v>
      </c>
      <c r="I129" s="381">
        <f t="shared" si="48"/>
        <v>68838.840332477223</v>
      </c>
      <c r="J129" s="54">
        <f t="shared" si="30"/>
        <v>0</v>
      </c>
      <c r="K129" s="54"/>
      <c r="L129" s="115"/>
      <c r="M129" s="54">
        <f t="shared" si="49"/>
        <v>0</v>
      </c>
      <c r="N129" s="115"/>
      <c r="O129" s="54">
        <f t="shared" si="31"/>
        <v>0</v>
      </c>
      <c r="P129" s="54">
        <f t="shared" si="32"/>
        <v>0</v>
      </c>
    </row>
    <row r="130" spans="2:16">
      <c r="B130" s="7" t="str">
        <f t="shared" si="33"/>
        <v/>
      </c>
      <c r="C130" s="50">
        <f>IF(D93="","-",+C129+1)</f>
        <v>2049</v>
      </c>
      <c r="D130" s="12">
        <f>IF(F129+SUM(E$99:E129)=D$92,F129,D$92-SUM(E$99:E129))</f>
        <v>253316.62000000011</v>
      </c>
      <c r="E130" s="354">
        <f t="shared" si="44"/>
        <v>36362</v>
      </c>
      <c r="F130" s="55">
        <f t="shared" si="45"/>
        <v>216954.62000000011</v>
      </c>
      <c r="G130" s="55">
        <f t="shared" si="46"/>
        <v>235135.62000000011</v>
      </c>
      <c r="H130" s="355">
        <f t="shared" si="47"/>
        <v>64489.178379015029</v>
      </c>
      <c r="I130" s="381">
        <f t="shared" si="48"/>
        <v>64489.178379015029</v>
      </c>
      <c r="J130" s="54">
        <f t="shared" si="30"/>
        <v>0</v>
      </c>
      <c r="K130" s="54"/>
      <c r="L130" s="115"/>
      <c r="M130" s="54">
        <f t="shared" si="49"/>
        <v>0</v>
      </c>
      <c r="N130" s="115"/>
      <c r="O130" s="54">
        <f t="shared" si="31"/>
        <v>0</v>
      </c>
      <c r="P130" s="54">
        <f t="shared" si="32"/>
        <v>0</v>
      </c>
    </row>
    <row r="131" spans="2:16">
      <c r="B131" s="7" t="str">
        <f t="shared" si="33"/>
        <v/>
      </c>
      <c r="C131" s="50">
        <f>IF(D93="","-",+C130+1)</f>
        <v>2050</v>
      </c>
      <c r="D131" s="12">
        <f>IF(F130+SUM(E$99:E130)=D$92,F130,D$92-SUM(E$99:E130))</f>
        <v>216954.62000000011</v>
      </c>
      <c r="E131" s="354">
        <f t="shared" si="44"/>
        <v>36362</v>
      </c>
      <c r="F131" s="55">
        <f t="shared" si="45"/>
        <v>180592.62000000011</v>
      </c>
      <c r="G131" s="55">
        <f t="shared" si="46"/>
        <v>198773.62000000011</v>
      </c>
      <c r="H131" s="355">
        <f t="shared" si="47"/>
        <v>60139.516425552836</v>
      </c>
      <c r="I131" s="381">
        <f t="shared" si="48"/>
        <v>60139.516425552836</v>
      </c>
      <c r="J131" s="54">
        <f t="shared" ref="J131:J154" si="50">+I541-H541</f>
        <v>0</v>
      </c>
      <c r="K131" s="54"/>
      <c r="L131" s="115"/>
      <c r="M131" s="54">
        <f t="shared" ref="M131:M154" si="51">IF(L541&lt;&gt;0,+H541-L541,0)</f>
        <v>0</v>
      </c>
      <c r="N131" s="115"/>
      <c r="O131" s="54">
        <f t="shared" ref="O131:O154" si="52">IF(N541&lt;&gt;0,+I541-N541,0)</f>
        <v>0</v>
      </c>
      <c r="P131" s="54">
        <f t="shared" ref="P131:P154" si="53">+O541-M541</f>
        <v>0</v>
      </c>
    </row>
    <row r="132" spans="2:16">
      <c r="B132" s="7" t="str">
        <f t="shared" si="33"/>
        <v/>
      </c>
      <c r="C132" s="50">
        <f>IF(D93="","-",+C131+1)</f>
        <v>2051</v>
      </c>
      <c r="D132" s="12">
        <f>IF(F131+SUM(E$99:E131)=D$92,F131,D$92-SUM(E$99:E131))</f>
        <v>180592.62000000011</v>
      </c>
      <c r="E132" s="354">
        <f t="shared" si="44"/>
        <v>36362</v>
      </c>
      <c r="F132" s="55">
        <f t="shared" si="45"/>
        <v>144230.62000000011</v>
      </c>
      <c r="G132" s="55">
        <f t="shared" si="46"/>
        <v>162411.62000000011</v>
      </c>
      <c r="H132" s="355">
        <f t="shared" si="47"/>
        <v>55789.854472090643</v>
      </c>
      <c r="I132" s="381">
        <f t="shared" si="48"/>
        <v>55789.854472090643</v>
      </c>
      <c r="J132" s="54">
        <f t="shared" si="50"/>
        <v>0</v>
      </c>
      <c r="K132" s="54"/>
      <c r="L132" s="115"/>
      <c r="M132" s="54">
        <f t="shared" si="51"/>
        <v>0</v>
      </c>
      <c r="N132" s="115"/>
      <c r="O132" s="54">
        <f t="shared" si="52"/>
        <v>0</v>
      </c>
      <c r="P132" s="54">
        <f t="shared" si="53"/>
        <v>0</v>
      </c>
    </row>
    <row r="133" spans="2:16">
      <c r="B133" s="7" t="str">
        <f t="shared" si="33"/>
        <v/>
      </c>
      <c r="C133" s="50">
        <f>IF(D93="","-",+C132+1)</f>
        <v>2052</v>
      </c>
      <c r="D133" s="12">
        <f>IF(F132+SUM(E$99:E132)=D$92,F132,D$92-SUM(E$99:E132))</f>
        <v>144230.62000000011</v>
      </c>
      <c r="E133" s="354">
        <f t="shared" si="44"/>
        <v>36362</v>
      </c>
      <c r="F133" s="55">
        <f t="shared" si="45"/>
        <v>107868.62000000011</v>
      </c>
      <c r="G133" s="55">
        <f t="shared" si="46"/>
        <v>126049.62000000011</v>
      </c>
      <c r="H133" s="355">
        <f t="shared" si="47"/>
        <v>51440.19251862845</v>
      </c>
      <c r="I133" s="381">
        <f t="shared" si="48"/>
        <v>51440.19251862845</v>
      </c>
      <c r="J133" s="54">
        <f t="shared" si="50"/>
        <v>0</v>
      </c>
      <c r="K133" s="54"/>
      <c r="L133" s="115"/>
      <c r="M133" s="54">
        <f t="shared" si="51"/>
        <v>0</v>
      </c>
      <c r="N133" s="115"/>
      <c r="O133" s="54">
        <f t="shared" si="52"/>
        <v>0</v>
      </c>
      <c r="P133" s="54">
        <f t="shared" si="53"/>
        <v>0</v>
      </c>
    </row>
    <row r="134" spans="2:16">
      <c r="B134" s="7" t="str">
        <f t="shared" si="33"/>
        <v/>
      </c>
      <c r="C134" s="50">
        <f>IF(D93="","-",+C133+1)</f>
        <v>2053</v>
      </c>
      <c r="D134" s="12">
        <f>IF(F133+SUM(E$99:E133)=D$92,F133,D$92-SUM(E$99:E133))</f>
        <v>107868.62000000011</v>
      </c>
      <c r="E134" s="354">
        <f t="shared" si="44"/>
        <v>36362</v>
      </c>
      <c r="F134" s="55">
        <f t="shared" si="45"/>
        <v>71506.620000000112</v>
      </c>
      <c r="G134" s="55">
        <f t="shared" si="46"/>
        <v>89687.620000000112</v>
      </c>
      <c r="H134" s="355">
        <f t="shared" si="47"/>
        <v>47090.530565166257</v>
      </c>
      <c r="I134" s="381">
        <f t="shared" si="48"/>
        <v>47090.530565166257</v>
      </c>
      <c r="J134" s="54">
        <f t="shared" si="50"/>
        <v>0</v>
      </c>
      <c r="K134" s="54"/>
      <c r="L134" s="115"/>
      <c r="M134" s="54">
        <f t="shared" si="51"/>
        <v>0</v>
      </c>
      <c r="N134" s="115"/>
      <c r="O134" s="54">
        <f t="shared" si="52"/>
        <v>0</v>
      </c>
      <c r="P134" s="54">
        <f t="shared" si="53"/>
        <v>0</v>
      </c>
    </row>
    <row r="135" spans="2:16">
      <c r="B135" s="7" t="str">
        <f t="shared" si="33"/>
        <v/>
      </c>
      <c r="C135" s="50">
        <f>IF(D93="","-",+C134+1)</f>
        <v>2054</v>
      </c>
      <c r="D135" s="12">
        <f>IF(F134+SUM(E$99:E134)=D$92,F134,D$92-SUM(E$99:E134))</f>
        <v>71506.620000000112</v>
      </c>
      <c r="E135" s="354">
        <f t="shared" si="44"/>
        <v>36362</v>
      </c>
      <c r="F135" s="55">
        <f t="shared" si="45"/>
        <v>35144.620000000112</v>
      </c>
      <c r="G135" s="55">
        <f t="shared" si="46"/>
        <v>53325.620000000112</v>
      </c>
      <c r="H135" s="355">
        <f t="shared" si="47"/>
        <v>42740.868611704063</v>
      </c>
      <c r="I135" s="381">
        <f t="shared" si="48"/>
        <v>42740.868611704063</v>
      </c>
      <c r="J135" s="54">
        <f t="shared" si="50"/>
        <v>0</v>
      </c>
      <c r="K135" s="54"/>
      <c r="L135" s="115"/>
      <c r="M135" s="54">
        <f t="shared" si="51"/>
        <v>0</v>
      </c>
      <c r="N135" s="115"/>
      <c r="O135" s="54">
        <f t="shared" si="52"/>
        <v>0</v>
      </c>
      <c r="P135" s="54">
        <f t="shared" si="53"/>
        <v>0</v>
      </c>
    </row>
    <row r="136" spans="2:16">
      <c r="B136" s="7" t="str">
        <f t="shared" si="33"/>
        <v/>
      </c>
      <c r="C136" s="50">
        <f>IF(D93="","-",+C135+1)</f>
        <v>2055</v>
      </c>
      <c r="D136" s="12">
        <f>IF(F135+SUM(E$99:E135)=D$92,F135,D$92-SUM(E$99:E135))</f>
        <v>35144.620000000112</v>
      </c>
      <c r="E136" s="354">
        <f t="shared" si="44"/>
        <v>35144.620000000112</v>
      </c>
      <c r="F136" s="55">
        <f t="shared" si="45"/>
        <v>0</v>
      </c>
      <c r="G136" s="55">
        <f t="shared" si="46"/>
        <v>17572.310000000056</v>
      </c>
      <c r="H136" s="355">
        <f t="shared" si="47"/>
        <v>37246.638817486593</v>
      </c>
      <c r="I136" s="381">
        <f t="shared" si="48"/>
        <v>37246.638817486593</v>
      </c>
      <c r="J136" s="54">
        <f t="shared" si="50"/>
        <v>0</v>
      </c>
      <c r="K136" s="54"/>
      <c r="L136" s="115"/>
      <c r="M136" s="54">
        <f t="shared" si="51"/>
        <v>0</v>
      </c>
      <c r="N136" s="115"/>
      <c r="O136" s="54">
        <f t="shared" si="52"/>
        <v>0</v>
      </c>
      <c r="P136" s="54">
        <f t="shared" si="53"/>
        <v>0</v>
      </c>
    </row>
    <row r="137" spans="2:16">
      <c r="B137" s="7" t="str">
        <f t="shared" si="33"/>
        <v/>
      </c>
      <c r="C137" s="50">
        <f>IF(D93="","-",+C136+1)</f>
        <v>2056</v>
      </c>
      <c r="D137" s="12">
        <f>IF(F136+SUM(E$99:E136)=D$92,F136,D$92-SUM(E$99:E136))</f>
        <v>0</v>
      </c>
      <c r="E137" s="354">
        <f t="shared" si="44"/>
        <v>0</v>
      </c>
      <c r="F137" s="55">
        <f t="shared" si="45"/>
        <v>0</v>
      </c>
      <c r="G137" s="55">
        <f t="shared" si="46"/>
        <v>0</v>
      </c>
      <c r="H137" s="355">
        <f t="shared" si="47"/>
        <v>0</v>
      </c>
      <c r="I137" s="381">
        <f t="shared" si="48"/>
        <v>0</v>
      </c>
      <c r="J137" s="54">
        <f t="shared" si="50"/>
        <v>0</v>
      </c>
      <c r="K137" s="54"/>
      <c r="L137" s="115"/>
      <c r="M137" s="54">
        <f t="shared" si="51"/>
        <v>0</v>
      </c>
      <c r="N137" s="115"/>
      <c r="O137" s="54">
        <f t="shared" si="52"/>
        <v>0</v>
      </c>
      <c r="P137" s="54">
        <f t="shared" si="53"/>
        <v>0</v>
      </c>
    </row>
    <row r="138" spans="2:16">
      <c r="B138" s="7" t="str">
        <f t="shared" si="33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44"/>
        <v>0</v>
      </c>
      <c r="F138" s="55">
        <f t="shared" si="45"/>
        <v>0</v>
      </c>
      <c r="G138" s="55">
        <f t="shared" si="46"/>
        <v>0</v>
      </c>
      <c r="H138" s="355">
        <f t="shared" si="47"/>
        <v>0</v>
      </c>
      <c r="I138" s="381">
        <f t="shared" si="48"/>
        <v>0</v>
      </c>
      <c r="J138" s="54">
        <f t="shared" si="50"/>
        <v>0</v>
      </c>
      <c r="K138" s="54"/>
      <c r="L138" s="115"/>
      <c r="M138" s="54">
        <f t="shared" si="51"/>
        <v>0</v>
      </c>
      <c r="N138" s="115"/>
      <c r="O138" s="54">
        <f t="shared" si="52"/>
        <v>0</v>
      </c>
      <c r="P138" s="54">
        <f t="shared" si="53"/>
        <v>0</v>
      </c>
    </row>
    <row r="139" spans="2:16">
      <c r="B139" s="7" t="str">
        <f t="shared" si="33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44"/>
        <v>0</v>
      </c>
      <c r="F139" s="55">
        <f t="shared" si="45"/>
        <v>0</v>
      </c>
      <c r="G139" s="55">
        <f t="shared" si="46"/>
        <v>0</v>
      </c>
      <c r="H139" s="355">
        <f t="shared" si="47"/>
        <v>0</v>
      </c>
      <c r="I139" s="381">
        <f t="shared" si="48"/>
        <v>0</v>
      </c>
      <c r="J139" s="54">
        <f t="shared" si="50"/>
        <v>0</v>
      </c>
      <c r="K139" s="54"/>
      <c r="L139" s="115"/>
      <c r="M139" s="54">
        <f t="shared" si="51"/>
        <v>0</v>
      </c>
      <c r="N139" s="115"/>
      <c r="O139" s="54">
        <f t="shared" si="52"/>
        <v>0</v>
      </c>
      <c r="P139" s="54">
        <f t="shared" si="53"/>
        <v>0</v>
      </c>
    </row>
    <row r="140" spans="2:16">
      <c r="B140" s="7" t="str">
        <f t="shared" si="33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44"/>
        <v>0</v>
      </c>
      <c r="F140" s="55">
        <f t="shared" si="45"/>
        <v>0</v>
      </c>
      <c r="G140" s="55">
        <f t="shared" si="46"/>
        <v>0</v>
      </c>
      <c r="H140" s="355">
        <f t="shared" si="47"/>
        <v>0</v>
      </c>
      <c r="I140" s="381">
        <f t="shared" si="48"/>
        <v>0</v>
      </c>
      <c r="J140" s="54">
        <f t="shared" si="50"/>
        <v>0</v>
      </c>
      <c r="K140" s="54"/>
      <c r="L140" s="115"/>
      <c r="M140" s="54">
        <f t="shared" si="51"/>
        <v>0</v>
      </c>
      <c r="N140" s="115"/>
      <c r="O140" s="54">
        <f t="shared" si="52"/>
        <v>0</v>
      </c>
      <c r="P140" s="54">
        <f t="shared" si="53"/>
        <v>0</v>
      </c>
    </row>
    <row r="141" spans="2:16">
      <c r="B141" s="7" t="str">
        <f t="shared" si="33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44"/>
        <v>0</v>
      </c>
      <c r="F141" s="55">
        <f t="shared" si="45"/>
        <v>0</v>
      </c>
      <c r="G141" s="55">
        <f t="shared" si="46"/>
        <v>0</v>
      </c>
      <c r="H141" s="355">
        <f t="shared" si="47"/>
        <v>0</v>
      </c>
      <c r="I141" s="381">
        <f t="shared" si="48"/>
        <v>0</v>
      </c>
      <c r="J141" s="54">
        <f t="shared" si="50"/>
        <v>0</v>
      </c>
      <c r="K141" s="54"/>
      <c r="L141" s="115"/>
      <c r="M141" s="54">
        <f t="shared" si="51"/>
        <v>0</v>
      </c>
      <c r="N141" s="115"/>
      <c r="O141" s="54">
        <f t="shared" si="52"/>
        <v>0</v>
      </c>
      <c r="P141" s="54">
        <f t="shared" si="53"/>
        <v>0</v>
      </c>
    </row>
    <row r="142" spans="2:16">
      <c r="B142" s="7" t="str">
        <f t="shared" si="33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44"/>
        <v>0</v>
      </c>
      <c r="F142" s="55">
        <f t="shared" si="45"/>
        <v>0</v>
      </c>
      <c r="G142" s="55">
        <f t="shared" si="46"/>
        <v>0</v>
      </c>
      <c r="H142" s="355">
        <f t="shared" si="47"/>
        <v>0</v>
      </c>
      <c r="I142" s="381">
        <f t="shared" si="48"/>
        <v>0</v>
      </c>
      <c r="J142" s="54">
        <f t="shared" si="50"/>
        <v>0</v>
      </c>
      <c r="K142" s="54"/>
      <c r="L142" s="115"/>
      <c r="M142" s="54">
        <f t="shared" si="51"/>
        <v>0</v>
      </c>
      <c r="N142" s="115"/>
      <c r="O142" s="54">
        <f t="shared" si="52"/>
        <v>0</v>
      </c>
      <c r="P142" s="54">
        <f t="shared" si="53"/>
        <v>0</v>
      </c>
    </row>
    <row r="143" spans="2:16">
      <c r="B143" s="7" t="str">
        <f t="shared" si="33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44"/>
        <v>0</v>
      </c>
      <c r="F143" s="55">
        <f t="shared" si="45"/>
        <v>0</v>
      </c>
      <c r="G143" s="55">
        <f t="shared" si="46"/>
        <v>0</v>
      </c>
      <c r="H143" s="355">
        <f t="shared" si="47"/>
        <v>0</v>
      </c>
      <c r="I143" s="381">
        <f t="shared" si="48"/>
        <v>0</v>
      </c>
      <c r="J143" s="54">
        <f t="shared" si="50"/>
        <v>0</v>
      </c>
      <c r="K143" s="54"/>
      <c r="L143" s="115"/>
      <c r="M143" s="54">
        <f t="shared" si="51"/>
        <v>0</v>
      </c>
      <c r="N143" s="115"/>
      <c r="O143" s="54">
        <f t="shared" si="52"/>
        <v>0</v>
      </c>
      <c r="P143" s="54">
        <f t="shared" si="53"/>
        <v>0</v>
      </c>
    </row>
    <row r="144" spans="2:16">
      <c r="B144" s="7" t="str">
        <f t="shared" si="33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44"/>
        <v>0</v>
      </c>
      <c r="F144" s="55">
        <f t="shared" si="45"/>
        <v>0</v>
      </c>
      <c r="G144" s="55">
        <f t="shared" si="46"/>
        <v>0</v>
      </c>
      <c r="H144" s="355">
        <f t="shared" si="47"/>
        <v>0</v>
      </c>
      <c r="I144" s="381">
        <f t="shared" si="48"/>
        <v>0</v>
      </c>
      <c r="J144" s="54">
        <f t="shared" si="50"/>
        <v>0</v>
      </c>
      <c r="K144" s="54"/>
      <c r="L144" s="115"/>
      <c r="M144" s="54">
        <f t="shared" si="51"/>
        <v>0</v>
      </c>
      <c r="N144" s="115"/>
      <c r="O144" s="54">
        <f t="shared" si="52"/>
        <v>0</v>
      </c>
      <c r="P144" s="54">
        <f t="shared" si="53"/>
        <v>0</v>
      </c>
    </row>
    <row r="145" spans="2:16">
      <c r="B145" s="7" t="str">
        <f t="shared" si="33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44"/>
        <v>0</v>
      </c>
      <c r="F145" s="55">
        <f t="shared" si="45"/>
        <v>0</v>
      </c>
      <c r="G145" s="55">
        <f t="shared" si="46"/>
        <v>0</v>
      </c>
      <c r="H145" s="355">
        <f t="shared" si="47"/>
        <v>0</v>
      </c>
      <c r="I145" s="381">
        <f t="shared" si="48"/>
        <v>0</v>
      </c>
      <c r="J145" s="54">
        <f t="shared" si="50"/>
        <v>0</v>
      </c>
      <c r="K145" s="54"/>
      <c r="L145" s="115"/>
      <c r="M145" s="54">
        <f t="shared" si="51"/>
        <v>0</v>
      </c>
      <c r="N145" s="115"/>
      <c r="O145" s="54">
        <f t="shared" si="52"/>
        <v>0</v>
      </c>
      <c r="P145" s="54">
        <f t="shared" si="53"/>
        <v>0</v>
      </c>
    </row>
    <row r="146" spans="2:16">
      <c r="B146" s="7" t="str">
        <f t="shared" si="33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44"/>
        <v>0</v>
      </c>
      <c r="F146" s="55">
        <f t="shared" si="45"/>
        <v>0</v>
      </c>
      <c r="G146" s="55">
        <f t="shared" si="46"/>
        <v>0</v>
      </c>
      <c r="H146" s="355">
        <f t="shared" si="47"/>
        <v>0</v>
      </c>
      <c r="I146" s="381">
        <f t="shared" si="48"/>
        <v>0</v>
      </c>
      <c r="J146" s="54">
        <f t="shared" si="50"/>
        <v>0</v>
      </c>
      <c r="K146" s="54"/>
      <c r="L146" s="115"/>
      <c r="M146" s="54">
        <f t="shared" si="51"/>
        <v>0</v>
      </c>
      <c r="N146" s="115"/>
      <c r="O146" s="54">
        <f t="shared" si="52"/>
        <v>0</v>
      </c>
      <c r="P146" s="54">
        <f t="shared" si="53"/>
        <v>0</v>
      </c>
    </row>
    <row r="147" spans="2:16">
      <c r="B147" s="7" t="str">
        <f t="shared" si="33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44"/>
        <v>0</v>
      </c>
      <c r="F147" s="55">
        <f t="shared" si="45"/>
        <v>0</v>
      </c>
      <c r="G147" s="55">
        <f t="shared" si="46"/>
        <v>0</v>
      </c>
      <c r="H147" s="355">
        <f t="shared" si="47"/>
        <v>0</v>
      </c>
      <c r="I147" s="381">
        <f t="shared" si="48"/>
        <v>0</v>
      </c>
      <c r="J147" s="54">
        <f t="shared" si="50"/>
        <v>0</v>
      </c>
      <c r="K147" s="54"/>
      <c r="L147" s="115"/>
      <c r="M147" s="54">
        <f t="shared" si="51"/>
        <v>0</v>
      </c>
      <c r="N147" s="115"/>
      <c r="O147" s="54">
        <f t="shared" si="52"/>
        <v>0</v>
      </c>
      <c r="P147" s="54">
        <f t="shared" si="53"/>
        <v>0</v>
      </c>
    </row>
    <row r="148" spans="2:16">
      <c r="B148" s="7" t="str">
        <f t="shared" si="33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44"/>
        <v>0</v>
      </c>
      <c r="F148" s="55">
        <f t="shared" si="45"/>
        <v>0</v>
      </c>
      <c r="G148" s="55">
        <f t="shared" si="46"/>
        <v>0</v>
      </c>
      <c r="H148" s="355">
        <f t="shared" si="47"/>
        <v>0</v>
      </c>
      <c r="I148" s="381">
        <f t="shared" si="48"/>
        <v>0</v>
      </c>
      <c r="J148" s="54">
        <f t="shared" si="50"/>
        <v>0</v>
      </c>
      <c r="K148" s="54"/>
      <c r="L148" s="115"/>
      <c r="M148" s="54">
        <f t="shared" si="51"/>
        <v>0</v>
      </c>
      <c r="N148" s="115"/>
      <c r="O148" s="54">
        <f t="shared" si="52"/>
        <v>0</v>
      </c>
      <c r="P148" s="54">
        <f t="shared" si="53"/>
        <v>0</v>
      </c>
    </row>
    <row r="149" spans="2:16">
      <c r="B149" s="7" t="str">
        <f t="shared" si="33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44"/>
        <v>0</v>
      </c>
      <c r="F149" s="55">
        <f t="shared" si="45"/>
        <v>0</v>
      </c>
      <c r="G149" s="55">
        <f t="shared" si="46"/>
        <v>0</v>
      </c>
      <c r="H149" s="355">
        <f t="shared" si="47"/>
        <v>0</v>
      </c>
      <c r="I149" s="381">
        <f t="shared" si="48"/>
        <v>0</v>
      </c>
      <c r="J149" s="54">
        <f t="shared" si="50"/>
        <v>0</v>
      </c>
      <c r="K149" s="54"/>
      <c r="L149" s="115"/>
      <c r="M149" s="54">
        <f t="shared" si="51"/>
        <v>0</v>
      </c>
      <c r="N149" s="115"/>
      <c r="O149" s="54">
        <f t="shared" si="52"/>
        <v>0</v>
      </c>
      <c r="P149" s="54">
        <f t="shared" si="53"/>
        <v>0</v>
      </c>
    </row>
    <row r="150" spans="2:16">
      <c r="B150" s="7" t="str">
        <f t="shared" si="33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44"/>
        <v>0</v>
      </c>
      <c r="F150" s="55">
        <f t="shared" si="45"/>
        <v>0</v>
      </c>
      <c r="G150" s="55">
        <f t="shared" si="46"/>
        <v>0</v>
      </c>
      <c r="H150" s="355">
        <f t="shared" si="47"/>
        <v>0</v>
      </c>
      <c r="I150" s="381">
        <f t="shared" si="48"/>
        <v>0</v>
      </c>
      <c r="J150" s="54">
        <f t="shared" si="50"/>
        <v>0</v>
      </c>
      <c r="K150" s="54"/>
      <c r="L150" s="115"/>
      <c r="M150" s="54">
        <f t="shared" si="51"/>
        <v>0</v>
      </c>
      <c r="N150" s="115"/>
      <c r="O150" s="54">
        <f t="shared" si="52"/>
        <v>0</v>
      </c>
      <c r="P150" s="54">
        <f t="shared" si="53"/>
        <v>0</v>
      </c>
    </row>
    <row r="151" spans="2:16">
      <c r="B151" s="7" t="str">
        <f t="shared" si="33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44"/>
        <v>0</v>
      </c>
      <c r="F151" s="55">
        <f t="shared" si="45"/>
        <v>0</v>
      </c>
      <c r="G151" s="55">
        <f t="shared" si="46"/>
        <v>0</v>
      </c>
      <c r="H151" s="355">
        <f t="shared" si="47"/>
        <v>0</v>
      </c>
      <c r="I151" s="381">
        <f t="shared" si="48"/>
        <v>0</v>
      </c>
      <c r="J151" s="54">
        <f t="shared" si="50"/>
        <v>0</v>
      </c>
      <c r="K151" s="54"/>
      <c r="L151" s="115"/>
      <c r="M151" s="54">
        <f t="shared" si="51"/>
        <v>0</v>
      </c>
      <c r="N151" s="115"/>
      <c r="O151" s="54">
        <f t="shared" si="52"/>
        <v>0</v>
      </c>
      <c r="P151" s="54">
        <f t="shared" si="53"/>
        <v>0</v>
      </c>
    </row>
    <row r="152" spans="2:16">
      <c r="B152" s="7" t="str">
        <f t="shared" si="33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44"/>
        <v>0</v>
      </c>
      <c r="F152" s="55">
        <f t="shared" si="45"/>
        <v>0</v>
      </c>
      <c r="G152" s="55">
        <f t="shared" si="46"/>
        <v>0</v>
      </c>
      <c r="H152" s="355">
        <f t="shared" si="47"/>
        <v>0</v>
      </c>
      <c r="I152" s="381">
        <f t="shared" si="48"/>
        <v>0</v>
      </c>
      <c r="J152" s="54">
        <f t="shared" si="50"/>
        <v>0</v>
      </c>
      <c r="K152" s="54"/>
      <c r="L152" s="115"/>
      <c r="M152" s="54">
        <f t="shared" si="51"/>
        <v>0</v>
      </c>
      <c r="N152" s="115"/>
      <c r="O152" s="54">
        <f t="shared" si="52"/>
        <v>0</v>
      </c>
      <c r="P152" s="54">
        <f t="shared" si="53"/>
        <v>0</v>
      </c>
    </row>
    <row r="153" spans="2:16">
      <c r="B153" s="7" t="str">
        <f t="shared" si="33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44"/>
        <v>0</v>
      </c>
      <c r="F153" s="55">
        <f t="shared" si="45"/>
        <v>0</v>
      </c>
      <c r="G153" s="55">
        <f t="shared" si="46"/>
        <v>0</v>
      </c>
      <c r="H153" s="355">
        <f t="shared" si="47"/>
        <v>0</v>
      </c>
      <c r="I153" s="381">
        <f t="shared" si="48"/>
        <v>0</v>
      </c>
      <c r="J153" s="54">
        <f t="shared" si="50"/>
        <v>0</v>
      </c>
      <c r="K153" s="54"/>
      <c r="L153" s="115"/>
      <c r="M153" s="54">
        <f t="shared" si="51"/>
        <v>0</v>
      </c>
      <c r="N153" s="115"/>
      <c r="O153" s="54">
        <f t="shared" si="52"/>
        <v>0</v>
      </c>
      <c r="P153" s="54">
        <f t="shared" si="53"/>
        <v>0</v>
      </c>
    </row>
    <row r="154" spans="2:16" ht="13.5" thickBot="1">
      <c r="B154" s="7" t="str">
        <f t="shared" si="33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44"/>
        <v>0</v>
      </c>
      <c r="F154" s="59">
        <f t="shared" si="45"/>
        <v>0</v>
      </c>
      <c r="G154" s="59">
        <f t="shared" si="46"/>
        <v>0</v>
      </c>
      <c r="H154" s="435">
        <f t="shared" ref="H154" si="54">+J$94*G154+E154</f>
        <v>0</v>
      </c>
      <c r="I154" s="436">
        <f t="shared" ref="I154" si="55">+J$95*G154+E154</f>
        <v>0</v>
      </c>
      <c r="J154" s="62">
        <f t="shared" si="50"/>
        <v>0</v>
      </c>
      <c r="K154" s="54"/>
      <c r="L154" s="116"/>
      <c r="M154" s="62">
        <f t="shared" si="51"/>
        <v>0</v>
      </c>
      <c r="N154" s="116"/>
      <c r="O154" s="62">
        <f t="shared" si="52"/>
        <v>0</v>
      </c>
      <c r="P154" s="62">
        <f t="shared" si="53"/>
        <v>0</v>
      </c>
    </row>
    <row r="155" spans="2:16">
      <c r="C155" s="12" t="s">
        <v>77</v>
      </c>
      <c r="D155" s="266"/>
      <c r="E155" s="266">
        <f>SUM(E99:E154)</f>
        <v>1345382.62</v>
      </c>
      <c r="F155" s="266"/>
      <c r="G155" s="266"/>
      <c r="H155" s="266">
        <f>SUM(H99:H154)</f>
        <v>4350457.214131929</v>
      </c>
      <c r="I155" s="266">
        <f>SUM(I99:I154)</f>
        <v>4350457.214131929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7" priority="1" stopIfTrue="1" operator="equal">
      <formula>$I$10</formula>
    </cfRule>
  </conditionalFormatting>
  <conditionalFormatting sqref="C99:C154">
    <cfRule type="cellIs" dxfId="2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162"/>
  <sheetViews>
    <sheetView topLeftCell="A74" zoomScale="85" zoomScaleNormal="85" workbookViewId="0">
      <selection activeCell="E113" sqref="E113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25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33283.783835135204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33283.783835135204</v>
      </c>
      <c r="O6" s="1"/>
      <c r="P6" s="1"/>
    </row>
    <row r="7" spans="1:16" ht="13.5" thickBot="1">
      <c r="C7" s="26" t="s">
        <v>46</v>
      </c>
      <c r="D7" s="88" t="s">
        <v>309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310</v>
      </c>
      <c r="E9" s="404" t="s">
        <v>378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288859.60000000003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7601.5684210526324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2018</v>
      </c>
      <c r="D17" s="411">
        <v>0</v>
      </c>
      <c r="E17" s="432">
        <v>11600</v>
      </c>
      <c r="F17" s="411">
        <v>1032400</v>
      </c>
      <c r="G17" s="432">
        <v>81460.13871045578</v>
      </c>
      <c r="H17" s="414">
        <v>81460.13871045578</v>
      </c>
      <c r="I17" s="52">
        <f>H17-G17</f>
        <v>0</v>
      </c>
      <c r="J17" s="52"/>
      <c r="K17" s="117">
        <f t="shared" ref="K17:K22" si="0">+G17</f>
        <v>81460.13871045578</v>
      </c>
      <c r="L17" s="53">
        <f t="shared" ref="L17:L72" si="1">IF(K17&lt;&gt;0,+G17-K17,0)</f>
        <v>0</v>
      </c>
      <c r="M17" s="117">
        <f t="shared" ref="M17:M22" si="2">+H17</f>
        <v>81460.13871045578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2019</v>
      </c>
      <c r="D18" s="411">
        <v>0</v>
      </c>
      <c r="E18" s="412">
        <v>11600</v>
      </c>
      <c r="F18" s="411">
        <v>1032400</v>
      </c>
      <c r="G18" s="412">
        <v>73419.565193351213</v>
      </c>
      <c r="H18" s="414">
        <v>73419.565193351213</v>
      </c>
      <c r="I18" s="52">
        <f>H18-G18</f>
        <v>0</v>
      </c>
      <c r="J18" s="52"/>
      <c r="K18" s="54">
        <f t="shared" si="0"/>
        <v>73419.565193351213</v>
      </c>
      <c r="L18" s="54">
        <f t="shared" si="1"/>
        <v>0</v>
      </c>
      <c r="M18" s="54">
        <f t="shared" si="2"/>
        <v>73419.565193351213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>IU</v>
      </c>
      <c r="C19" s="50">
        <f>IF(D11="","-",+C18+1)</f>
        <v>2020</v>
      </c>
      <c r="D19" s="411">
        <v>267280</v>
      </c>
      <c r="E19" s="412">
        <v>7192.3809523809523</v>
      </c>
      <c r="F19" s="411">
        <v>260087.61904761905</v>
      </c>
      <c r="G19" s="412">
        <v>35671.491974766584</v>
      </c>
      <c r="H19" s="414">
        <v>35671.491974766584</v>
      </c>
      <c r="I19" s="52">
        <f t="shared" ref="I19:I71" si="5">H19-G19</f>
        <v>0</v>
      </c>
      <c r="J19" s="52"/>
      <c r="K19" s="54">
        <f t="shared" si="0"/>
        <v>35671.491974766584</v>
      </c>
      <c r="L19" s="54">
        <f t="shared" ref="L19" si="6">IF(K19&lt;&gt;0,+G19-K19,0)</f>
        <v>0</v>
      </c>
      <c r="M19" s="54">
        <f t="shared" si="2"/>
        <v>35671.491974766584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2021</v>
      </c>
      <c r="D20" s="411">
        <v>258467.61904761905</v>
      </c>
      <c r="E20" s="412">
        <v>6717.6744186046508</v>
      </c>
      <c r="F20" s="411">
        <v>251749.94462901441</v>
      </c>
      <c r="G20" s="412">
        <v>34223.924690152948</v>
      </c>
      <c r="H20" s="414">
        <v>34223.924690152948</v>
      </c>
      <c r="I20" s="52">
        <f t="shared" si="5"/>
        <v>0</v>
      </c>
      <c r="J20" s="52"/>
      <c r="K20" s="54">
        <f t="shared" si="0"/>
        <v>34223.924690152948</v>
      </c>
      <c r="L20" s="54">
        <f t="shared" ref="L20" si="8">IF(K20&lt;&gt;0,+G20-K20,0)</f>
        <v>0</v>
      </c>
      <c r="M20" s="54">
        <f t="shared" si="2"/>
        <v>34223.924690152948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7"/>
        <v/>
      </c>
      <c r="C21" s="50">
        <f>IF(D11="","-",+C20+1)</f>
        <v>2022</v>
      </c>
      <c r="D21" s="411">
        <v>251749.94462901441</v>
      </c>
      <c r="E21" s="412">
        <v>6877.6190476190477</v>
      </c>
      <c r="F21" s="411">
        <v>244872.32558139536</v>
      </c>
      <c r="G21" s="412">
        <v>33648.35187112401</v>
      </c>
      <c r="H21" s="414">
        <v>33648.35187112401</v>
      </c>
      <c r="I21" s="52">
        <f t="shared" si="5"/>
        <v>0</v>
      </c>
      <c r="J21" s="52"/>
      <c r="K21" s="54">
        <f t="shared" si="0"/>
        <v>33648.35187112401</v>
      </c>
      <c r="L21" s="54">
        <f t="shared" ref="L21" si="9">IF(K21&lt;&gt;0,+G21-K21,0)</f>
        <v>0</v>
      </c>
      <c r="M21" s="54">
        <f t="shared" si="2"/>
        <v>33648.35187112401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7"/>
        <v>IU</v>
      </c>
      <c r="C22" s="50">
        <f>IF(D11="","-",+C21+1)</f>
        <v>2023</v>
      </c>
      <c r="D22" s="411">
        <v>244871.92558139539</v>
      </c>
      <c r="E22" s="412">
        <v>7406.6564102564107</v>
      </c>
      <c r="F22" s="411">
        <v>237465.26917113899</v>
      </c>
      <c r="G22" s="412">
        <v>36192.287124459006</v>
      </c>
      <c r="H22" s="414">
        <v>36192.287124459006</v>
      </c>
      <c r="I22" s="52">
        <f t="shared" si="5"/>
        <v>0</v>
      </c>
      <c r="J22" s="52"/>
      <c r="K22" s="54">
        <f t="shared" si="0"/>
        <v>36192.287124459006</v>
      </c>
      <c r="L22" s="54">
        <f t="shared" ref="L22" si="10">IF(K22&lt;&gt;0,+G22-K22,0)</f>
        <v>0</v>
      </c>
      <c r="M22" s="54">
        <f t="shared" si="2"/>
        <v>36192.287124459006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>
      <c r="B23" s="7" t="str">
        <f t="shared" si="7"/>
        <v/>
      </c>
      <c r="C23" s="50">
        <f>IF(D11="","-",+C22+1)</f>
        <v>2024</v>
      </c>
      <c r="D23" s="411">
        <v>237465.26917113899</v>
      </c>
      <c r="E23" s="412">
        <v>7601.5684210526324</v>
      </c>
      <c r="F23" s="411">
        <v>229863.70075008637</v>
      </c>
      <c r="G23" s="412">
        <v>34178.610771160769</v>
      </c>
      <c r="H23" s="414">
        <v>34178.610771160769</v>
      </c>
      <c r="I23" s="52">
        <f t="shared" si="5"/>
        <v>0</v>
      </c>
      <c r="J23" s="52"/>
      <c r="K23" s="54">
        <f t="shared" ref="K23" si="13">+G23</f>
        <v>34178.610771160769</v>
      </c>
      <c r="L23" s="54">
        <f t="shared" ref="L23" si="14">IF(K23&lt;&gt;0,+G23-K23,0)</f>
        <v>0</v>
      </c>
      <c r="M23" s="54">
        <f t="shared" ref="M23" si="15">+H23</f>
        <v>34178.610771160769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>
      <c r="B24" s="7" t="str">
        <f t="shared" si="7"/>
        <v/>
      </c>
      <c r="C24" s="50">
        <f>IF(D11="","-",+C23+1)</f>
        <v>2025</v>
      </c>
      <c r="D24" s="411">
        <v>229863.70075008637</v>
      </c>
      <c r="E24" s="412">
        <v>7601.5684210526324</v>
      </c>
      <c r="F24" s="411">
        <v>222262.13232903375</v>
      </c>
      <c r="G24" s="412">
        <v>33283.783835135204</v>
      </c>
      <c r="H24" s="414">
        <v>33283.783835135204</v>
      </c>
      <c r="I24" s="52">
        <f t="shared" si="5"/>
        <v>0</v>
      </c>
      <c r="J24" s="52"/>
      <c r="K24" s="54">
        <f t="shared" ref="K24" si="18">+G24</f>
        <v>33283.783835135204</v>
      </c>
      <c r="L24" s="54">
        <f t="shared" ref="L24" si="19">IF(K24&lt;&gt;0,+G24-K24,0)</f>
        <v>0</v>
      </c>
      <c r="M24" s="54">
        <f t="shared" ref="M24" si="20">+H24</f>
        <v>33283.783835135204</v>
      </c>
      <c r="N24" s="54">
        <f t="shared" ref="N24" si="21">IF(M24&lt;&gt;0,+H24-M24,0)</f>
        <v>0</v>
      </c>
      <c r="O24" s="54">
        <f t="shared" ref="O24" si="22">+N24-L24</f>
        <v>0</v>
      </c>
      <c r="P24" s="1"/>
    </row>
    <row r="25" spans="2:16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222262.13232903375</v>
      </c>
      <c r="E25" s="354">
        <f t="shared" ref="E25:E71" si="23">IF(+I$14&lt;F24,I$14,D25)</f>
        <v>7601.5684210526324</v>
      </c>
      <c r="F25" s="55">
        <f t="shared" ref="F25:F71" si="24">+D25-E25</f>
        <v>214660.56390798112</v>
      </c>
      <c r="G25" s="355">
        <f t="shared" ref="G25:G71" si="25">(D25+F25)/2*I$12+E25</f>
        <v>32420.196296485548</v>
      </c>
      <c r="H25" s="336">
        <f t="shared" ref="H25:H71" si="26">+(D25+F25)/2*I$13+E25</f>
        <v>32420.196296485548</v>
      </c>
      <c r="I25" s="52">
        <f t="shared" si="5"/>
        <v>0</v>
      </c>
      <c r="J25" s="52"/>
      <c r="K25" s="115"/>
      <c r="L25" s="54">
        <f t="shared" si="1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214660.56390798112</v>
      </c>
      <c r="E26" s="354">
        <f t="shared" si="23"/>
        <v>7601.5684210526324</v>
      </c>
      <c r="F26" s="55">
        <f t="shared" si="24"/>
        <v>207058.9954869285</v>
      </c>
      <c r="G26" s="355">
        <f t="shared" si="25"/>
        <v>31556.608757835893</v>
      </c>
      <c r="H26" s="336">
        <f t="shared" si="26"/>
        <v>31556.608757835893</v>
      </c>
      <c r="I26" s="52">
        <f t="shared" si="5"/>
        <v>0</v>
      </c>
      <c r="J26" s="52"/>
      <c r="K26" s="115"/>
      <c r="L26" s="54">
        <f t="shared" si="1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207058.9954869285</v>
      </c>
      <c r="E27" s="354">
        <f t="shared" si="23"/>
        <v>7601.5684210526324</v>
      </c>
      <c r="F27" s="55">
        <f t="shared" si="24"/>
        <v>199457.42706587588</v>
      </c>
      <c r="G27" s="355">
        <f t="shared" si="25"/>
        <v>30693.021219186237</v>
      </c>
      <c r="H27" s="336">
        <f t="shared" si="26"/>
        <v>30693.021219186237</v>
      </c>
      <c r="I27" s="52">
        <f t="shared" si="5"/>
        <v>0</v>
      </c>
      <c r="J27" s="52"/>
      <c r="K27" s="115"/>
      <c r="L27" s="54">
        <f t="shared" si="1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199457.42706587588</v>
      </c>
      <c r="E28" s="354">
        <f t="shared" si="23"/>
        <v>7601.5684210526324</v>
      </c>
      <c r="F28" s="55">
        <f t="shared" si="24"/>
        <v>191855.85864482325</v>
      </c>
      <c r="G28" s="355">
        <f t="shared" si="25"/>
        <v>29829.433680536582</v>
      </c>
      <c r="H28" s="336">
        <f t="shared" si="26"/>
        <v>29829.433680536582</v>
      </c>
      <c r="I28" s="52">
        <f t="shared" si="5"/>
        <v>0</v>
      </c>
      <c r="J28" s="52"/>
      <c r="K28" s="115"/>
      <c r="L28" s="54">
        <f t="shared" si="1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191855.85864482325</v>
      </c>
      <c r="E29" s="354">
        <f t="shared" si="23"/>
        <v>7601.5684210526324</v>
      </c>
      <c r="F29" s="55">
        <f t="shared" si="24"/>
        <v>184254.29022377063</v>
      </c>
      <c r="G29" s="355">
        <f t="shared" si="25"/>
        <v>28965.846141886926</v>
      </c>
      <c r="H29" s="336">
        <f t="shared" si="26"/>
        <v>28965.846141886926</v>
      </c>
      <c r="I29" s="52">
        <f t="shared" si="5"/>
        <v>0</v>
      </c>
      <c r="J29" s="52"/>
      <c r="K29" s="115"/>
      <c r="L29" s="54">
        <f t="shared" si="1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184254.29022377063</v>
      </c>
      <c r="E30" s="354">
        <f t="shared" si="23"/>
        <v>7601.5684210526324</v>
      </c>
      <c r="F30" s="55">
        <f t="shared" si="24"/>
        <v>176652.72180271801</v>
      </c>
      <c r="G30" s="355">
        <f t="shared" si="25"/>
        <v>28102.258603237278</v>
      </c>
      <c r="H30" s="336">
        <f t="shared" si="26"/>
        <v>28102.258603237278</v>
      </c>
      <c r="I30" s="52">
        <f t="shared" si="5"/>
        <v>0</v>
      </c>
      <c r="J30" s="52"/>
      <c r="K30" s="115"/>
      <c r="L30" s="54">
        <f t="shared" si="1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176652.72180271801</v>
      </c>
      <c r="E31" s="354">
        <f t="shared" si="23"/>
        <v>7601.5684210526324</v>
      </c>
      <c r="F31" s="55">
        <f t="shared" si="24"/>
        <v>169051.15338166538</v>
      </c>
      <c r="G31" s="355">
        <f t="shared" si="25"/>
        <v>27238.671064587616</v>
      </c>
      <c r="H31" s="336">
        <f t="shared" si="26"/>
        <v>27238.671064587616</v>
      </c>
      <c r="I31" s="52">
        <f t="shared" si="5"/>
        <v>0</v>
      </c>
      <c r="J31" s="52"/>
      <c r="K31" s="115"/>
      <c r="L31" s="54">
        <f t="shared" si="1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169051.15338166538</v>
      </c>
      <c r="E32" s="354">
        <f t="shared" si="23"/>
        <v>7601.5684210526324</v>
      </c>
      <c r="F32" s="55">
        <f t="shared" si="24"/>
        <v>161449.58496061276</v>
      </c>
      <c r="G32" s="355">
        <f t="shared" si="25"/>
        <v>26375.083525937967</v>
      </c>
      <c r="H32" s="336">
        <f t="shared" si="26"/>
        <v>26375.083525937967</v>
      </c>
      <c r="I32" s="52">
        <f t="shared" si="5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161449.58496061276</v>
      </c>
      <c r="E33" s="354">
        <f t="shared" si="23"/>
        <v>7601.5684210526324</v>
      </c>
      <c r="F33" s="55">
        <f t="shared" si="24"/>
        <v>153848.01653956014</v>
      </c>
      <c r="G33" s="355">
        <f t="shared" si="25"/>
        <v>25511.495987288305</v>
      </c>
      <c r="H33" s="336">
        <f t="shared" si="26"/>
        <v>25511.495987288305</v>
      </c>
      <c r="I33" s="52">
        <f t="shared" si="5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153848.01653956014</v>
      </c>
      <c r="E34" s="354">
        <f t="shared" si="23"/>
        <v>7601.5684210526324</v>
      </c>
      <c r="F34" s="55">
        <f t="shared" si="24"/>
        <v>146246.44811850751</v>
      </c>
      <c r="G34" s="355">
        <f t="shared" si="25"/>
        <v>24647.908448638656</v>
      </c>
      <c r="H34" s="336">
        <f t="shared" si="26"/>
        <v>24647.908448638656</v>
      </c>
      <c r="I34" s="52">
        <f t="shared" si="5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146246.44811850751</v>
      </c>
      <c r="E35" s="354">
        <f t="shared" si="23"/>
        <v>7601.5684210526324</v>
      </c>
      <c r="F35" s="55">
        <f t="shared" si="24"/>
        <v>138644.87969745489</v>
      </c>
      <c r="G35" s="355">
        <f t="shared" si="25"/>
        <v>23784.320909989001</v>
      </c>
      <c r="H35" s="336">
        <f t="shared" si="26"/>
        <v>23784.320909989001</v>
      </c>
      <c r="I35" s="52">
        <f t="shared" si="5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138644.87969745489</v>
      </c>
      <c r="E36" s="354">
        <f t="shared" si="23"/>
        <v>7601.5684210526324</v>
      </c>
      <c r="F36" s="55">
        <f t="shared" si="24"/>
        <v>131043.31127640225</v>
      </c>
      <c r="G36" s="355">
        <f t="shared" si="25"/>
        <v>22920.733371339345</v>
      </c>
      <c r="H36" s="336">
        <f t="shared" si="26"/>
        <v>22920.733371339345</v>
      </c>
      <c r="I36" s="52">
        <f t="shared" si="5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131043.31127640225</v>
      </c>
      <c r="E37" s="354">
        <f t="shared" si="23"/>
        <v>7601.5684210526324</v>
      </c>
      <c r="F37" s="55">
        <f t="shared" si="24"/>
        <v>123441.74285534961</v>
      </c>
      <c r="G37" s="355">
        <f t="shared" si="25"/>
        <v>22057.14583268969</v>
      </c>
      <c r="H37" s="336">
        <f t="shared" si="26"/>
        <v>22057.14583268969</v>
      </c>
      <c r="I37" s="52">
        <f t="shared" si="5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123441.74285534961</v>
      </c>
      <c r="E38" s="354">
        <f t="shared" si="23"/>
        <v>7601.5684210526324</v>
      </c>
      <c r="F38" s="55">
        <f t="shared" si="24"/>
        <v>115840.17443429698</v>
      </c>
      <c r="G38" s="355">
        <f t="shared" si="25"/>
        <v>21193.558294040031</v>
      </c>
      <c r="H38" s="336">
        <f t="shared" si="26"/>
        <v>21193.558294040031</v>
      </c>
      <c r="I38" s="52">
        <f t="shared" si="5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115840.17443429698</v>
      </c>
      <c r="E39" s="354">
        <f t="shared" si="23"/>
        <v>7601.5684210526324</v>
      </c>
      <c r="F39" s="55">
        <f t="shared" si="24"/>
        <v>108238.60601324434</v>
      </c>
      <c r="G39" s="355">
        <f t="shared" si="25"/>
        <v>20329.970755390379</v>
      </c>
      <c r="H39" s="336">
        <f t="shared" si="26"/>
        <v>20329.970755390379</v>
      </c>
      <c r="I39" s="52">
        <f t="shared" si="5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108238.60601324434</v>
      </c>
      <c r="E40" s="354">
        <f t="shared" si="23"/>
        <v>7601.5684210526324</v>
      </c>
      <c r="F40" s="55">
        <f t="shared" si="24"/>
        <v>100637.0375921917</v>
      </c>
      <c r="G40" s="355">
        <f t="shared" si="25"/>
        <v>19466.383216740716</v>
      </c>
      <c r="H40" s="336">
        <f t="shared" si="26"/>
        <v>19466.383216740716</v>
      </c>
      <c r="I40" s="52">
        <f t="shared" si="5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100637.0375921917</v>
      </c>
      <c r="E41" s="354">
        <f t="shared" si="23"/>
        <v>7601.5684210526324</v>
      </c>
      <c r="F41" s="55">
        <f t="shared" si="24"/>
        <v>93035.469171139062</v>
      </c>
      <c r="G41" s="355">
        <f t="shared" si="25"/>
        <v>18602.795678091064</v>
      </c>
      <c r="H41" s="336">
        <f t="shared" si="26"/>
        <v>18602.795678091064</v>
      </c>
      <c r="I41" s="52">
        <f t="shared" si="5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93035.469171139062</v>
      </c>
      <c r="E42" s="354">
        <f t="shared" si="23"/>
        <v>7601.5684210526324</v>
      </c>
      <c r="F42" s="55">
        <f t="shared" si="24"/>
        <v>85433.900750086425</v>
      </c>
      <c r="G42" s="355">
        <f t="shared" si="25"/>
        <v>17739.208139441405</v>
      </c>
      <c r="H42" s="336">
        <f t="shared" si="26"/>
        <v>17739.208139441405</v>
      </c>
      <c r="I42" s="52">
        <f t="shared" si="5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85433.900750086425</v>
      </c>
      <c r="E43" s="354">
        <f t="shared" si="23"/>
        <v>7601.5684210526324</v>
      </c>
      <c r="F43" s="55">
        <f t="shared" si="24"/>
        <v>77832.332329033787</v>
      </c>
      <c r="G43" s="355">
        <f t="shared" si="25"/>
        <v>16875.62060079175</v>
      </c>
      <c r="H43" s="336">
        <f t="shared" si="26"/>
        <v>16875.62060079175</v>
      </c>
      <c r="I43" s="52">
        <f t="shared" si="5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77832.332329033787</v>
      </c>
      <c r="E44" s="354">
        <f t="shared" si="23"/>
        <v>7601.5684210526324</v>
      </c>
      <c r="F44" s="55">
        <f t="shared" si="24"/>
        <v>70230.763907981149</v>
      </c>
      <c r="G44" s="355">
        <f t="shared" si="25"/>
        <v>16012.033062142093</v>
      </c>
      <c r="H44" s="336">
        <f t="shared" si="26"/>
        <v>16012.033062142093</v>
      </c>
      <c r="I44" s="52">
        <f t="shared" si="5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70230.763907981149</v>
      </c>
      <c r="E45" s="354">
        <f t="shared" si="23"/>
        <v>7601.5684210526324</v>
      </c>
      <c r="F45" s="55">
        <f t="shared" si="24"/>
        <v>62629.195486928518</v>
      </c>
      <c r="G45" s="355">
        <f t="shared" si="25"/>
        <v>15148.445523492439</v>
      </c>
      <c r="H45" s="336">
        <f t="shared" si="26"/>
        <v>15148.445523492439</v>
      </c>
      <c r="I45" s="52">
        <f t="shared" si="5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62629.195486928518</v>
      </c>
      <c r="E46" s="354">
        <f t="shared" si="23"/>
        <v>7601.5684210526324</v>
      </c>
      <c r="F46" s="55">
        <f t="shared" si="24"/>
        <v>55027.627065875888</v>
      </c>
      <c r="G46" s="355">
        <f t="shared" si="25"/>
        <v>14284.857984842783</v>
      </c>
      <c r="H46" s="336">
        <f t="shared" si="26"/>
        <v>14284.857984842783</v>
      </c>
      <c r="I46" s="52">
        <f t="shared" si="5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55027.627065875888</v>
      </c>
      <c r="E47" s="354">
        <f t="shared" si="23"/>
        <v>7601.5684210526324</v>
      </c>
      <c r="F47" s="55">
        <f t="shared" si="24"/>
        <v>47426.058644823257</v>
      </c>
      <c r="G47" s="355">
        <f t="shared" si="25"/>
        <v>13421.270446193128</v>
      </c>
      <c r="H47" s="336">
        <f t="shared" si="26"/>
        <v>13421.270446193128</v>
      </c>
      <c r="I47" s="52">
        <f t="shared" si="5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47426.058644823257</v>
      </c>
      <c r="E48" s="354">
        <f t="shared" si="23"/>
        <v>7601.5684210526324</v>
      </c>
      <c r="F48" s="55">
        <f t="shared" si="24"/>
        <v>39824.490223770626</v>
      </c>
      <c r="G48" s="355">
        <f t="shared" si="25"/>
        <v>12557.682907543473</v>
      </c>
      <c r="H48" s="336">
        <f t="shared" si="26"/>
        <v>12557.682907543473</v>
      </c>
      <c r="I48" s="52">
        <f t="shared" si="5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39824.490223770626</v>
      </c>
      <c r="E49" s="354">
        <f t="shared" si="23"/>
        <v>7601.5684210526324</v>
      </c>
      <c r="F49" s="55">
        <f t="shared" si="24"/>
        <v>32222.921802717996</v>
      </c>
      <c r="G49" s="355">
        <f t="shared" si="25"/>
        <v>11694.095368893817</v>
      </c>
      <c r="H49" s="336">
        <f t="shared" si="26"/>
        <v>11694.095368893817</v>
      </c>
      <c r="I49" s="52">
        <f t="shared" si="5"/>
        <v>0</v>
      </c>
      <c r="J49" s="52"/>
      <c r="K49" s="115"/>
      <c r="L49" s="54">
        <f t="shared" si="1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32222.921802717996</v>
      </c>
      <c r="E50" s="354">
        <f t="shared" si="23"/>
        <v>7601.5684210526324</v>
      </c>
      <c r="F50" s="55">
        <f t="shared" si="24"/>
        <v>24621.353381665365</v>
      </c>
      <c r="G50" s="355">
        <f t="shared" si="25"/>
        <v>10830.507830244162</v>
      </c>
      <c r="H50" s="336">
        <f t="shared" si="26"/>
        <v>10830.507830244162</v>
      </c>
      <c r="I50" s="52">
        <f t="shared" si="5"/>
        <v>0</v>
      </c>
      <c r="J50" s="52"/>
      <c r="K50" s="115"/>
      <c r="L50" s="54">
        <f t="shared" si="1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24621.353381665365</v>
      </c>
      <c r="E51" s="354">
        <f t="shared" si="23"/>
        <v>7601.5684210526324</v>
      </c>
      <c r="F51" s="55">
        <f t="shared" si="24"/>
        <v>17019.784960612735</v>
      </c>
      <c r="G51" s="355">
        <f t="shared" si="25"/>
        <v>9966.9202915945061</v>
      </c>
      <c r="H51" s="336">
        <f t="shared" si="26"/>
        <v>9966.9202915945061</v>
      </c>
      <c r="I51" s="52">
        <f t="shared" si="5"/>
        <v>0</v>
      </c>
      <c r="J51" s="52"/>
      <c r="K51" s="115"/>
      <c r="L51" s="54">
        <f t="shared" si="1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17019.784960612735</v>
      </c>
      <c r="E52" s="354">
        <f t="shared" si="23"/>
        <v>7601.5684210526324</v>
      </c>
      <c r="F52" s="55">
        <f t="shared" si="24"/>
        <v>9418.2165395601023</v>
      </c>
      <c r="G52" s="355">
        <f t="shared" si="25"/>
        <v>9103.3327529448507</v>
      </c>
      <c r="H52" s="336">
        <f t="shared" si="26"/>
        <v>9103.3327529448507</v>
      </c>
      <c r="I52" s="52">
        <f t="shared" si="5"/>
        <v>0</v>
      </c>
      <c r="J52" s="52"/>
      <c r="K52" s="115"/>
      <c r="L52" s="54">
        <f t="shared" si="1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9418.2165395601023</v>
      </c>
      <c r="E53" s="354">
        <f t="shared" si="23"/>
        <v>7601.5684210526324</v>
      </c>
      <c r="F53" s="55">
        <f t="shared" si="24"/>
        <v>1816.6481185074699</v>
      </c>
      <c r="G53" s="355">
        <f t="shared" si="25"/>
        <v>8239.7452142951934</v>
      </c>
      <c r="H53" s="336">
        <f t="shared" si="26"/>
        <v>8239.7452142951934</v>
      </c>
      <c r="I53" s="52">
        <f t="shared" si="5"/>
        <v>0</v>
      </c>
      <c r="J53" s="52"/>
      <c r="K53" s="115"/>
      <c r="L53" s="54">
        <f t="shared" si="1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1816.6481185074699</v>
      </c>
      <c r="E54" s="354">
        <f t="shared" si="23"/>
        <v>1816.6481185074699</v>
      </c>
      <c r="F54" s="55">
        <f t="shared" si="24"/>
        <v>0</v>
      </c>
      <c r="G54" s="355">
        <f t="shared" si="25"/>
        <v>1919.8396304663368</v>
      </c>
      <c r="H54" s="336">
        <f t="shared" si="26"/>
        <v>1919.8396304663368</v>
      </c>
      <c r="I54" s="52">
        <f t="shared" si="5"/>
        <v>0</v>
      </c>
      <c r="J54" s="52"/>
      <c r="K54" s="115"/>
      <c r="L54" s="54">
        <f t="shared" si="1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0</v>
      </c>
      <c r="E55" s="354">
        <f t="shared" si="23"/>
        <v>0</v>
      </c>
      <c r="F55" s="55">
        <f t="shared" si="24"/>
        <v>0</v>
      </c>
      <c r="G55" s="355">
        <f t="shared" si="25"/>
        <v>0</v>
      </c>
      <c r="H55" s="336">
        <f t="shared" si="26"/>
        <v>0</v>
      </c>
      <c r="I55" s="52">
        <f t="shared" si="5"/>
        <v>0</v>
      </c>
      <c r="J55" s="52"/>
      <c r="K55" s="115"/>
      <c r="L55" s="54">
        <f t="shared" si="1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0</v>
      </c>
      <c r="E56" s="354">
        <f t="shared" si="23"/>
        <v>0</v>
      </c>
      <c r="F56" s="55">
        <f t="shared" si="24"/>
        <v>0</v>
      </c>
      <c r="G56" s="355">
        <f t="shared" si="25"/>
        <v>0</v>
      </c>
      <c r="H56" s="336">
        <f t="shared" si="26"/>
        <v>0</v>
      </c>
      <c r="I56" s="52">
        <f t="shared" si="5"/>
        <v>0</v>
      </c>
      <c r="J56" s="52"/>
      <c r="K56" s="115"/>
      <c r="L56" s="54">
        <f t="shared" si="1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23"/>
        <v>0</v>
      </c>
      <c r="F57" s="55">
        <f t="shared" si="24"/>
        <v>0</v>
      </c>
      <c r="G57" s="355">
        <f t="shared" si="25"/>
        <v>0</v>
      </c>
      <c r="H57" s="336">
        <f t="shared" si="26"/>
        <v>0</v>
      </c>
      <c r="I57" s="52">
        <f t="shared" si="5"/>
        <v>0</v>
      </c>
      <c r="J57" s="52"/>
      <c r="K57" s="115"/>
      <c r="L57" s="54">
        <f t="shared" si="1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23"/>
        <v>0</v>
      </c>
      <c r="F58" s="55">
        <f t="shared" si="24"/>
        <v>0</v>
      </c>
      <c r="G58" s="355">
        <f t="shared" si="25"/>
        <v>0</v>
      </c>
      <c r="H58" s="336">
        <f t="shared" si="26"/>
        <v>0</v>
      </c>
      <c r="I58" s="52">
        <f t="shared" si="5"/>
        <v>0</v>
      </c>
      <c r="J58" s="52"/>
      <c r="K58" s="115"/>
      <c r="L58" s="54">
        <f t="shared" si="1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23"/>
        <v>0</v>
      </c>
      <c r="F59" s="55">
        <f t="shared" si="24"/>
        <v>0</v>
      </c>
      <c r="G59" s="355">
        <f t="shared" si="25"/>
        <v>0</v>
      </c>
      <c r="H59" s="336">
        <f t="shared" si="26"/>
        <v>0</v>
      </c>
      <c r="I59" s="52">
        <f t="shared" si="5"/>
        <v>0</v>
      </c>
      <c r="J59" s="52"/>
      <c r="K59" s="115"/>
      <c r="L59" s="54">
        <f t="shared" si="1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23"/>
        <v>0</v>
      </c>
      <c r="F60" s="55">
        <f t="shared" si="24"/>
        <v>0</v>
      </c>
      <c r="G60" s="355">
        <f t="shared" si="25"/>
        <v>0</v>
      </c>
      <c r="H60" s="336">
        <f t="shared" si="26"/>
        <v>0</v>
      </c>
      <c r="I60" s="52">
        <f t="shared" si="5"/>
        <v>0</v>
      </c>
      <c r="J60" s="52"/>
      <c r="K60" s="115"/>
      <c r="L60" s="54">
        <f t="shared" si="1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23"/>
        <v>0</v>
      </c>
      <c r="F61" s="55">
        <f t="shared" si="24"/>
        <v>0</v>
      </c>
      <c r="G61" s="355">
        <f t="shared" si="25"/>
        <v>0</v>
      </c>
      <c r="H61" s="336">
        <f t="shared" si="26"/>
        <v>0</v>
      </c>
      <c r="I61" s="52">
        <f t="shared" si="5"/>
        <v>0</v>
      </c>
      <c r="J61" s="52"/>
      <c r="K61" s="115"/>
      <c r="L61" s="54">
        <f t="shared" si="1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23"/>
        <v>0</v>
      </c>
      <c r="F62" s="55">
        <f t="shared" si="24"/>
        <v>0</v>
      </c>
      <c r="G62" s="355">
        <f t="shared" si="25"/>
        <v>0</v>
      </c>
      <c r="H62" s="336">
        <f t="shared" si="26"/>
        <v>0</v>
      </c>
      <c r="I62" s="52">
        <f t="shared" si="5"/>
        <v>0</v>
      </c>
      <c r="J62" s="52"/>
      <c r="K62" s="115"/>
      <c r="L62" s="54">
        <f t="shared" si="1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23"/>
        <v>0</v>
      </c>
      <c r="F63" s="55">
        <f t="shared" si="24"/>
        <v>0</v>
      </c>
      <c r="G63" s="355">
        <f t="shared" si="25"/>
        <v>0</v>
      </c>
      <c r="H63" s="336">
        <f t="shared" si="26"/>
        <v>0</v>
      </c>
      <c r="I63" s="52">
        <f t="shared" si="5"/>
        <v>0</v>
      </c>
      <c r="J63" s="52"/>
      <c r="K63" s="115"/>
      <c r="L63" s="54">
        <f t="shared" si="1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23"/>
        <v>0</v>
      </c>
      <c r="F64" s="55">
        <f t="shared" si="24"/>
        <v>0</v>
      </c>
      <c r="G64" s="355">
        <f t="shared" si="25"/>
        <v>0</v>
      </c>
      <c r="H64" s="336">
        <f t="shared" si="26"/>
        <v>0</v>
      </c>
      <c r="I64" s="52">
        <f t="shared" si="5"/>
        <v>0</v>
      </c>
      <c r="J64" s="52"/>
      <c r="K64" s="115"/>
      <c r="L64" s="54">
        <f t="shared" si="1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23"/>
        <v>0</v>
      </c>
      <c r="F65" s="55">
        <f t="shared" si="24"/>
        <v>0</v>
      </c>
      <c r="G65" s="355">
        <f t="shared" si="25"/>
        <v>0</v>
      </c>
      <c r="H65" s="336">
        <f t="shared" si="26"/>
        <v>0</v>
      </c>
      <c r="I65" s="52">
        <f t="shared" si="5"/>
        <v>0</v>
      </c>
      <c r="J65" s="52"/>
      <c r="K65" s="115"/>
      <c r="L65" s="54">
        <f t="shared" si="1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23"/>
        <v>0</v>
      </c>
      <c r="F66" s="55">
        <f t="shared" si="24"/>
        <v>0</v>
      </c>
      <c r="G66" s="355">
        <f t="shared" si="25"/>
        <v>0</v>
      </c>
      <c r="H66" s="336">
        <f t="shared" si="26"/>
        <v>0</v>
      </c>
      <c r="I66" s="52">
        <f t="shared" si="5"/>
        <v>0</v>
      </c>
      <c r="J66" s="52"/>
      <c r="K66" s="115"/>
      <c r="L66" s="54">
        <f t="shared" si="1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23"/>
        <v>0</v>
      </c>
      <c r="F67" s="55">
        <f t="shared" si="24"/>
        <v>0</v>
      </c>
      <c r="G67" s="355">
        <f t="shared" si="25"/>
        <v>0</v>
      </c>
      <c r="H67" s="336">
        <f t="shared" si="26"/>
        <v>0</v>
      </c>
      <c r="I67" s="52">
        <f t="shared" si="5"/>
        <v>0</v>
      </c>
      <c r="J67" s="52"/>
      <c r="K67" s="115"/>
      <c r="L67" s="54">
        <f t="shared" si="1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23"/>
        <v>0</v>
      </c>
      <c r="F68" s="55">
        <f t="shared" si="24"/>
        <v>0</v>
      </c>
      <c r="G68" s="355">
        <f t="shared" si="25"/>
        <v>0</v>
      </c>
      <c r="H68" s="336">
        <f t="shared" si="26"/>
        <v>0</v>
      </c>
      <c r="I68" s="52">
        <f t="shared" si="5"/>
        <v>0</v>
      </c>
      <c r="J68" s="52"/>
      <c r="K68" s="115"/>
      <c r="L68" s="54">
        <f t="shared" si="1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23"/>
        <v>0</v>
      </c>
      <c r="F69" s="55">
        <f t="shared" si="24"/>
        <v>0</v>
      </c>
      <c r="G69" s="355">
        <f t="shared" si="25"/>
        <v>0</v>
      </c>
      <c r="H69" s="336">
        <f t="shared" si="26"/>
        <v>0</v>
      </c>
      <c r="I69" s="52">
        <f t="shared" si="5"/>
        <v>0</v>
      </c>
      <c r="J69" s="52"/>
      <c r="K69" s="115"/>
      <c r="L69" s="54">
        <f t="shared" si="1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23"/>
        <v>0</v>
      </c>
      <c r="F70" s="55">
        <f t="shared" si="24"/>
        <v>0</v>
      </c>
      <c r="G70" s="355">
        <f t="shared" si="25"/>
        <v>0</v>
      </c>
      <c r="H70" s="336">
        <f t="shared" si="26"/>
        <v>0</v>
      </c>
      <c r="I70" s="52">
        <f t="shared" si="5"/>
        <v>0</v>
      </c>
      <c r="J70" s="52"/>
      <c r="K70" s="115"/>
      <c r="L70" s="54">
        <f t="shared" si="1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23"/>
        <v>0</v>
      </c>
      <c r="F71" s="55">
        <f t="shared" si="24"/>
        <v>0</v>
      </c>
      <c r="G71" s="355">
        <f t="shared" si="25"/>
        <v>0</v>
      </c>
      <c r="H71" s="336">
        <f t="shared" si="26"/>
        <v>0</v>
      </c>
      <c r="I71" s="52">
        <f t="shared" si="5"/>
        <v>0</v>
      </c>
      <c r="J71" s="52"/>
      <c r="K71" s="115"/>
      <c r="L71" s="54">
        <f t="shared" si="1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.5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1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>
      <c r="C73" s="12" t="s">
        <v>77</v>
      </c>
      <c r="D73" s="266"/>
      <c r="E73" s="266">
        <f>SUM(E17:E72)</f>
        <v>288859.60000000009</v>
      </c>
      <c r="F73" s="266"/>
      <c r="G73" s="266">
        <f>SUM(G17:G72)</f>
        <v>953567.14570739272</v>
      </c>
      <c r="H73" s="266">
        <f>SUM(H17:H72)</f>
        <v>953567.14570739272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25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33283.783835135204</v>
      </c>
      <c r="N87" s="364">
        <f>IF(J92&lt;D11,0,VLOOKUP(J92,C17:O72,11))</f>
        <v>33283.783835135204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36231.912871312699</v>
      </c>
      <c r="N88" s="367">
        <f>IF(J92&lt;D11,0,VLOOKUP(J92,C99:P154,7))</f>
        <v>36231.912871312699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Fort Towson-Valliant Line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2948.1290361774954</v>
      </c>
      <c r="N89" s="369">
        <f>+N88-N87</f>
        <v>2948.1290361774954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TP2015204</v>
      </c>
      <c r="E91" s="74" t="str">
        <f>E9</f>
        <v xml:space="preserve">  SPP Project ID = 31058</v>
      </c>
      <c r="F91" s="74"/>
      <c r="G91" s="74"/>
      <c r="H91" s="74"/>
      <c r="I91" s="74"/>
      <c r="J91" s="74"/>
    </row>
    <row r="92" spans="1:16">
      <c r="C92" s="128" t="s">
        <v>226</v>
      </c>
      <c r="D92" s="372">
        <v>288859.60000000003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D11</f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D12</f>
        <v>12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7807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2018</v>
      </c>
      <c r="D99" s="411">
        <v>0</v>
      </c>
      <c r="E99" s="432">
        <v>3512.5</v>
      </c>
      <c r="F99" s="411">
        <v>298567.5</v>
      </c>
      <c r="G99" s="432">
        <v>149283.75</v>
      </c>
      <c r="H99" s="414">
        <v>18849.250674297917</v>
      </c>
      <c r="I99" s="431">
        <v>18849.250674297917</v>
      </c>
      <c r="J99" s="54">
        <f>+I99-H99</f>
        <v>0</v>
      </c>
      <c r="K99" s="54"/>
      <c r="L99" s="53">
        <f>+H99</f>
        <v>18849.250674297917</v>
      </c>
      <c r="M99" s="53">
        <f t="shared" ref="M99" si="27">IF(L99&lt;&gt;0,+H99-L99,0)</f>
        <v>0</v>
      </c>
      <c r="N99" s="53">
        <f>+I99</f>
        <v>18849.250674297917</v>
      </c>
      <c r="O99" s="53">
        <f t="shared" ref="O99" si="28">IF(N99&lt;&gt;0,+I99-N99,0)</f>
        <v>0</v>
      </c>
      <c r="P99" s="53">
        <f t="shared" ref="P99" si="29">+O99-M99</f>
        <v>0</v>
      </c>
    </row>
    <row r="100" spans="1:16">
      <c r="B100" s="7" t="str">
        <f>IF(D100=F99,"","IU")</f>
        <v>IU</v>
      </c>
      <c r="C100" s="50">
        <f>IF(D93="","-",+C99+1)</f>
        <v>2019</v>
      </c>
      <c r="D100" s="411">
        <v>285347.5</v>
      </c>
      <c r="E100" s="412">
        <v>7045</v>
      </c>
      <c r="F100" s="413">
        <v>278302.5</v>
      </c>
      <c r="G100" s="413">
        <v>281825</v>
      </c>
      <c r="H100" s="430">
        <v>36105.110400173638</v>
      </c>
      <c r="I100" s="431">
        <v>36105.110400173638</v>
      </c>
      <c r="J100" s="54">
        <f t="shared" ref="J100:J130" si="30">+I100-H100</f>
        <v>0</v>
      </c>
      <c r="K100" s="54"/>
      <c r="L100" s="350">
        <f>H100</f>
        <v>36105.110400173638</v>
      </c>
      <c r="M100" s="63">
        <f>IF(L100&lt;&gt;0,+H100-L100,0)</f>
        <v>0</v>
      </c>
      <c r="N100" s="350">
        <f>I100</f>
        <v>36105.110400173638</v>
      </c>
      <c r="O100" s="54">
        <f t="shared" ref="O100:O130" si="31">IF(N100&lt;&gt;0,+I100-N100,0)</f>
        <v>0</v>
      </c>
      <c r="P100" s="54">
        <f t="shared" ref="P100:P130" si="32">+O100-M100</f>
        <v>0</v>
      </c>
    </row>
    <row r="101" spans="1:16">
      <c r="B101" s="7" t="str">
        <f t="shared" ref="B101:B154" si="33">IF(D101=F100,"","IU")</f>
        <v/>
      </c>
      <c r="C101" s="50">
        <f>IF(D93="","-",+C100+1)</f>
        <v>2020</v>
      </c>
      <c r="D101" s="411">
        <v>278302.5</v>
      </c>
      <c r="E101" s="412">
        <v>6718</v>
      </c>
      <c r="F101" s="413">
        <v>271584.5</v>
      </c>
      <c r="G101" s="413">
        <v>274943.5</v>
      </c>
      <c r="H101" s="430">
        <v>38418.229655174066</v>
      </c>
      <c r="I101" s="431">
        <v>38418.229655174066</v>
      </c>
      <c r="J101" s="54">
        <f t="shared" si="30"/>
        <v>0</v>
      </c>
      <c r="K101" s="54"/>
      <c r="L101" s="350">
        <f>H101</f>
        <v>38418.229655174066</v>
      </c>
      <c r="M101" s="63">
        <f>IF(L101&lt;&gt;0,+H101-L101,0)</f>
        <v>0</v>
      </c>
      <c r="N101" s="350">
        <f>I101</f>
        <v>38418.229655174066</v>
      </c>
      <c r="O101" s="54">
        <f t="shared" si="31"/>
        <v>0</v>
      </c>
      <c r="P101" s="54">
        <f t="shared" si="32"/>
        <v>0</v>
      </c>
    </row>
    <row r="102" spans="1:16">
      <c r="B102" s="7" t="str">
        <f t="shared" si="33"/>
        <v/>
      </c>
      <c r="C102" s="50">
        <f>IF(D93="","-",+C101+1)</f>
        <v>2021</v>
      </c>
      <c r="D102" s="411">
        <v>271584.5</v>
      </c>
      <c r="E102" s="412">
        <v>7045</v>
      </c>
      <c r="F102" s="413">
        <v>264539.5</v>
      </c>
      <c r="G102" s="413">
        <v>268062</v>
      </c>
      <c r="H102" s="430">
        <v>37548.523685600252</v>
      </c>
      <c r="I102" s="431">
        <v>37548.523685600252</v>
      </c>
      <c r="J102" s="54">
        <f t="shared" si="30"/>
        <v>0</v>
      </c>
      <c r="K102" s="54"/>
      <c r="L102" s="350">
        <f>H102</f>
        <v>37548.523685600252</v>
      </c>
      <c r="M102" s="63">
        <f>IF(L102&lt;&gt;0,+H102-L102,0)</f>
        <v>0</v>
      </c>
      <c r="N102" s="350">
        <f>I102</f>
        <v>37548.523685600252</v>
      </c>
      <c r="O102" s="54">
        <f t="shared" si="31"/>
        <v>0</v>
      </c>
      <c r="P102" s="54">
        <f t="shared" si="32"/>
        <v>0</v>
      </c>
    </row>
    <row r="103" spans="1:16">
      <c r="B103" s="7" t="str">
        <f t="shared" si="33"/>
        <v>IU</v>
      </c>
      <c r="C103" s="50">
        <f>IF(D93="","-",+C102+1)</f>
        <v>2022</v>
      </c>
      <c r="D103" s="411">
        <v>264539.10000000003</v>
      </c>
      <c r="E103" s="412">
        <v>7602</v>
      </c>
      <c r="F103" s="413">
        <v>256937.10000000003</v>
      </c>
      <c r="G103" s="413">
        <v>260738.10000000003</v>
      </c>
      <c r="H103" s="430">
        <v>37385.344782279237</v>
      </c>
      <c r="I103" s="431">
        <v>37385.344782279237</v>
      </c>
      <c r="J103" s="54">
        <f t="shared" si="30"/>
        <v>0</v>
      </c>
      <c r="K103" s="54"/>
      <c r="L103" s="350">
        <f t="shared" ref="L103:L104" si="34">H103</f>
        <v>37385.344782279237</v>
      </c>
      <c r="M103" s="63">
        <f t="shared" ref="M103:M104" si="35">IF(L103&lt;&gt;0,+H103-L103,0)</f>
        <v>0</v>
      </c>
      <c r="N103" s="350">
        <f t="shared" ref="N103:N104" si="36">I103</f>
        <v>37385.344782279237</v>
      </c>
      <c r="O103" s="54">
        <f t="shared" ref="O103:O104" si="37">IF(N103&lt;&gt;0,+I103-N103,0)</f>
        <v>0</v>
      </c>
      <c r="P103" s="54">
        <f t="shared" ref="P103:P104" si="38">+O103-M103</f>
        <v>0</v>
      </c>
    </row>
    <row r="104" spans="1:16">
      <c r="B104" s="7" t="str">
        <f t="shared" si="33"/>
        <v/>
      </c>
      <c r="C104" s="50">
        <f>IF(D93="","-",+C103+1)</f>
        <v>2023</v>
      </c>
      <c r="D104" s="411">
        <v>256937.10000000003</v>
      </c>
      <c r="E104" s="412">
        <v>7602</v>
      </c>
      <c r="F104" s="413">
        <v>249335.10000000003</v>
      </c>
      <c r="G104" s="413">
        <v>253136.10000000003</v>
      </c>
      <c r="H104" s="430">
        <v>36516.99072495164</v>
      </c>
      <c r="I104" s="431">
        <v>36516.99072495164</v>
      </c>
      <c r="J104" s="54">
        <f t="shared" si="30"/>
        <v>0</v>
      </c>
      <c r="K104" s="54"/>
      <c r="L104" s="350">
        <f t="shared" si="34"/>
        <v>36516.99072495164</v>
      </c>
      <c r="M104" s="63">
        <f t="shared" si="35"/>
        <v>0</v>
      </c>
      <c r="N104" s="350">
        <f t="shared" si="36"/>
        <v>36516.99072495164</v>
      </c>
      <c r="O104" s="54">
        <f t="shared" si="37"/>
        <v>0</v>
      </c>
      <c r="P104" s="54">
        <f t="shared" si="38"/>
        <v>0</v>
      </c>
    </row>
    <row r="105" spans="1:16">
      <c r="B105" s="7" t="str">
        <f t="shared" si="33"/>
        <v/>
      </c>
      <c r="C105" s="50">
        <f>IF(D93="","-",+C104+1)</f>
        <v>2024</v>
      </c>
      <c r="D105" s="411">
        <v>249335.10000000003</v>
      </c>
      <c r="E105" s="412">
        <v>7807</v>
      </c>
      <c r="F105" s="413">
        <v>241528.10000000003</v>
      </c>
      <c r="G105" s="413">
        <v>245431.60000000003</v>
      </c>
      <c r="H105" s="430">
        <v>40773.055845686649</v>
      </c>
      <c r="I105" s="431">
        <v>40773.055845686649</v>
      </c>
      <c r="J105" s="54">
        <f t="shared" si="30"/>
        <v>0</v>
      </c>
      <c r="K105" s="54"/>
      <c r="L105" s="350">
        <f t="shared" ref="L105" si="39">H105</f>
        <v>40773.055845686649</v>
      </c>
      <c r="M105" s="63">
        <f t="shared" ref="M105" si="40">IF(L105&lt;&gt;0,+H105-L105,0)</f>
        <v>0</v>
      </c>
      <c r="N105" s="350">
        <f t="shared" ref="N105" si="41">I105</f>
        <v>40773.055845686649</v>
      </c>
      <c r="O105" s="54">
        <f t="shared" ref="O105" si="42">IF(N105&lt;&gt;0,+I105-N105,0)</f>
        <v>0</v>
      </c>
      <c r="P105" s="54">
        <f t="shared" ref="P105" si="43">+O105-M105</f>
        <v>0</v>
      </c>
    </row>
    <row r="106" spans="1:16">
      <c r="B106" s="7" t="str">
        <f t="shared" si="33"/>
        <v/>
      </c>
      <c r="C106" s="50">
        <f>IF(D93="","-",+C105+1)</f>
        <v>2025</v>
      </c>
      <c r="D106" s="12">
        <f>IF(F105+SUM(E$99:E105)=D$92,F105,D$92-SUM(E$99:E105))</f>
        <v>241528.10000000003</v>
      </c>
      <c r="E106" s="354">
        <f t="shared" ref="E106:E154" si="44">IF(+J$96&lt;F105,J$96,D106)</f>
        <v>7807</v>
      </c>
      <c r="F106" s="55">
        <f t="shared" ref="F106:F154" si="45">+D106-E106</f>
        <v>233721.10000000003</v>
      </c>
      <c r="G106" s="55">
        <f t="shared" ref="G106:G154" si="46">+(F106+D106)/2</f>
        <v>237624.60000000003</v>
      </c>
      <c r="H106" s="355">
        <f t="shared" ref="H106:H153" si="47">(D106+F106)/2*J$94+E106</f>
        <v>36231.912871312699</v>
      </c>
      <c r="I106" s="381">
        <f t="shared" ref="I106:I153" si="48">+J$95*G106+E106</f>
        <v>36231.912871312699</v>
      </c>
      <c r="J106" s="54">
        <f t="shared" si="30"/>
        <v>0</v>
      </c>
      <c r="K106" s="54"/>
      <c r="L106" s="115"/>
      <c r="M106" s="54">
        <f t="shared" ref="M106:M130" si="49">IF(L106&lt;&gt;0,+H106-L106,0)</f>
        <v>0</v>
      </c>
      <c r="N106" s="115"/>
      <c r="O106" s="54">
        <f t="shared" si="31"/>
        <v>0</v>
      </c>
      <c r="P106" s="54">
        <f t="shared" si="32"/>
        <v>0</v>
      </c>
    </row>
    <row r="107" spans="1:16">
      <c r="B107" s="7" t="str">
        <f t="shared" si="33"/>
        <v/>
      </c>
      <c r="C107" s="50">
        <f>IF(D93="","-",+C106+1)</f>
        <v>2026</v>
      </c>
      <c r="D107" s="12">
        <f>IF(F106+SUM(E$99:E106)=D$92,F106,D$92-SUM(E$99:E106))</f>
        <v>233721.10000000003</v>
      </c>
      <c r="E107" s="354">
        <f t="shared" si="44"/>
        <v>7807</v>
      </c>
      <c r="F107" s="55">
        <f t="shared" si="45"/>
        <v>225914.10000000003</v>
      </c>
      <c r="G107" s="55">
        <f t="shared" si="46"/>
        <v>229817.60000000003</v>
      </c>
      <c r="H107" s="355">
        <f t="shared" si="47"/>
        <v>35298.031047686964</v>
      </c>
      <c r="I107" s="381">
        <f t="shared" si="48"/>
        <v>35298.031047686964</v>
      </c>
      <c r="J107" s="54">
        <f t="shared" si="30"/>
        <v>0</v>
      </c>
      <c r="K107" s="54"/>
      <c r="L107" s="115"/>
      <c r="M107" s="54">
        <f t="shared" si="49"/>
        <v>0</v>
      </c>
      <c r="N107" s="115"/>
      <c r="O107" s="54">
        <f t="shared" si="31"/>
        <v>0</v>
      </c>
      <c r="P107" s="54">
        <f t="shared" si="32"/>
        <v>0</v>
      </c>
    </row>
    <row r="108" spans="1:16">
      <c r="B108" s="7" t="str">
        <f t="shared" si="33"/>
        <v/>
      </c>
      <c r="C108" s="50">
        <f>IF(D93="","-",+C107+1)</f>
        <v>2027</v>
      </c>
      <c r="D108" s="12">
        <f>IF(F107+SUM(E$99:E107)=D$92,F107,D$92-SUM(E$99:E107))</f>
        <v>225914.10000000003</v>
      </c>
      <c r="E108" s="354">
        <f t="shared" si="44"/>
        <v>7807</v>
      </c>
      <c r="F108" s="55">
        <f t="shared" si="45"/>
        <v>218107.10000000003</v>
      </c>
      <c r="G108" s="55">
        <f t="shared" si="46"/>
        <v>222010.60000000003</v>
      </c>
      <c r="H108" s="355">
        <f t="shared" si="47"/>
        <v>34364.149224061213</v>
      </c>
      <c r="I108" s="381">
        <f t="shared" si="48"/>
        <v>34364.149224061213</v>
      </c>
      <c r="J108" s="54">
        <f t="shared" si="30"/>
        <v>0</v>
      </c>
      <c r="K108" s="54"/>
      <c r="L108" s="115"/>
      <c r="M108" s="54">
        <f t="shared" si="49"/>
        <v>0</v>
      </c>
      <c r="N108" s="115"/>
      <c r="O108" s="54">
        <f t="shared" si="31"/>
        <v>0</v>
      </c>
      <c r="P108" s="54">
        <f t="shared" si="32"/>
        <v>0</v>
      </c>
    </row>
    <row r="109" spans="1:16">
      <c r="B109" s="7" t="str">
        <f t="shared" si="33"/>
        <v/>
      </c>
      <c r="C109" s="50">
        <f>IF(D93="","-",+C108+1)</f>
        <v>2028</v>
      </c>
      <c r="D109" s="12">
        <f>IF(F108+SUM(E$99:E108)=D$92,F108,D$92-SUM(E$99:E108))</f>
        <v>218107.10000000003</v>
      </c>
      <c r="E109" s="354">
        <f t="shared" si="44"/>
        <v>7807</v>
      </c>
      <c r="F109" s="55">
        <f t="shared" si="45"/>
        <v>210300.10000000003</v>
      </c>
      <c r="G109" s="55">
        <f t="shared" si="46"/>
        <v>214203.60000000003</v>
      </c>
      <c r="H109" s="355">
        <f t="shared" si="47"/>
        <v>33430.267400435463</v>
      </c>
      <c r="I109" s="381">
        <f t="shared" si="48"/>
        <v>33430.267400435463</v>
      </c>
      <c r="J109" s="54">
        <f t="shared" si="30"/>
        <v>0</v>
      </c>
      <c r="K109" s="54"/>
      <c r="L109" s="115"/>
      <c r="M109" s="54">
        <f t="shared" si="49"/>
        <v>0</v>
      </c>
      <c r="N109" s="115"/>
      <c r="O109" s="54">
        <f t="shared" si="31"/>
        <v>0</v>
      </c>
      <c r="P109" s="54">
        <f t="shared" si="32"/>
        <v>0</v>
      </c>
    </row>
    <row r="110" spans="1:16">
      <c r="B110" s="7" t="str">
        <f t="shared" si="33"/>
        <v/>
      </c>
      <c r="C110" s="50">
        <f>IF(D93="","-",+C109+1)</f>
        <v>2029</v>
      </c>
      <c r="D110" s="12">
        <f>IF(F109+SUM(E$99:E109)=D$92,F109,D$92-SUM(E$99:E109))</f>
        <v>210300.10000000003</v>
      </c>
      <c r="E110" s="354">
        <f t="shared" si="44"/>
        <v>7807</v>
      </c>
      <c r="F110" s="55">
        <f t="shared" si="45"/>
        <v>202493.10000000003</v>
      </c>
      <c r="G110" s="55">
        <f t="shared" si="46"/>
        <v>206396.60000000003</v>
      </c>
      <c r="H110" s="355">
        <f t="shared" si="47"/>
        <v>32496.385576809724</v>
      </c>
      <c r="I110" s="381">
        <f t="shared" si="48"/>
        <v>32496.385576809724</v>
      </c>
      <c r="J110" s="54">
        <f t="shared" si="30"/>
        <v>0</v>
      </c>
      <c r="K110" s="54"/>
      <c r="L110" s="115"/>
      <c r="M110" s="54">
        <f t="shared" si="49"/>
        <v>0</v>
      </c>
      <c r="N110" s="115"/>
      <c r="O110" s="54">
        <f t="shared" si="31"/>
        <v>0</v>
      </c>
      <c r="P110" s="54">
        <f t="shared" si="32"/>
        <v>0</v>
      </c>
    </row>
    <row r="111" spans="1:16">
      <c r="B111" s="7" t="str">
        <f t="shared" si="33"/>
        <v/>
      </c>
      <c r="C111" s="50">
        <f>IF(D93="","-",+C110+1)</f>
        <v>2030</v>
      </c>
      <c r="D111" s="12">
        <f>IF(F110+SUM(E$99:E110)=D$92,F110,D$92-SUM(E$99:E110))</f>
        <v>202493.10000000003</v>
      </c>
      <c r="E111" s="354">
        <f t="shared" si="44"/>
        <v>7807</v>
      </c>
      <c r="F111" s="55">
        <f t="shared" si="45"/>
        <v>194686.10000000003</v>
      </c>
      <c r="G111" s="55">
        <f t="shared" si="46"/>
        <v>198589.60000000003</v>
      </c>
      <c r="H111" s="355">
        <f t="shared" si="47"/>
        <v>31562.503753183977</v>
      </c>
      <c r="I111" s="381">
        <f t="shared" si="48"/>
        <v>31562.503753183977</v>
      </c>
      <c r="J111" s="54">
        <f t="shared" si="30"/>
        <v>0</v>
      </c>
      <c r="K111" s="54"/>
      <c r="L111" s="115"/>
      <c r="M111" s="54">
        <f t="shared" si="49"/>
        <v>0</v>
      </c>
      <c r="N111" s="115"/>
      <c r="O111" s="54">
        <f t="shared" si="31"/>
        <v>0</v>
      </c>
      <c r="P111" s="54">
        <f t="shared" si="32"/>
        <v>0</v>
      </c>
    </row>
    <row r="112" spans="1:16">
      <c r="B112" s="7" t="str">
        <f t="shared" si="33"/>
        <v/>
      </c>
      <c r="C112" s="50">
        <f>IF(D93="","-",+C111+1)</f>
        <v>2031</v>
      </c>
      <c r="D112" s="12">
        <f>IF(F111+SUM(E$99:E111)=D$92,F111,D$92-SUM(E$99:E111))</f>
        <v>194686.10000000003</v>
      </c>
      <c r="E112" s="354">
        <f t="shared" si="44"/>
        <v>7807</v>
      </c>
      <c r="F112" s="55">
        <f t="shared" si="45"/>
        <v>186879.10000000003</v>
      </c>
      <c r="G112" s="55">
        <f t="shared" si="46"/>
        <v>190782.60000000003</v>
      </c>
      <c r="H112" s="355">
        <f t="shared" si="47"/>
        <v>30628.621929558234</v>
      </c>
      <c r="I112" s="381">
        <f t="shared" si="48"/>
        <v>30628.621929558234</v>
      </c>
      <c r="J112" s="54">
        <f t="shared" si="30"/>
        <v>0</v>
      </c>
      <c r="K112" s="54"/>
      <c r="L112" s="115"/>
      <c r="M112" s="54">
        <f t="shared" si="49"/>
        <v>0</v>
      </c>
      <c r="N112" s="115"/>
      <c r="O112" s="54">
        <f t="shared" si="31"/>
        <v>0</v>
      </c>
      <c r="P112" s="54">
        <f t="shared" si="32"/>
        <v>0</v>
      </c>
    </row>
    <row r="113" spans="2:16">
      <c r="B113" s="7" t="str">
        <f t="shared" si="33"/>
        <v/>
      </c>
      <c r="C113" s="50">
        <f>IF(D93="","-",+C112+1)</f>
        <v>2032</v>
      </c>
      <c r="D113" s="12">
        <f>IF(F112+SUM(E$99:E112)=D$92,F112,D$92-SUM(E$99:E112))</f>
        <v>186879.10000000003</v>
      </c>
      <c r="E113" s="354">
        <f t="shared" si="44"/>
        <v>7807</v>
      </c>
      <c r="F113" s="55">
        <f t="shared" si="45"/>
        <v>179072.10000000003</v>
      </c>
      <c r="G113" s="55">
        <f t="shared" si="46"/>
        <v>182975.60000000003</v>
      </c>
      <c r="H113" s="355">
        <f t="shared" si="47"/>
        <v>29694.740105932487</v>
      </c>
      <c r="I113" s="381">
        <f t="shared" si="48"/>
        <v>29694.740105932487</v>
      </c>
      <c r="J113" s="54">
        <f t="shared" si="30"/>
        <v>0</v>
      </c>
      <c r="K113" s="54"/>
      <c r="L113" s="115"/>
      <c r="M113" s="54">
        <f t="shared" si="49"/>
        <v>0</v>
      </c>
      <c r="N113" s="115"/>
      <c r="O113" s="54">
        <f t="shared" si="31"/>
        <v>0</v>
      </c>
      <c r="P113" s="54">
        <f t="shared" si="32"/>
        <v>0</v>
      </c>
    </row>
    <row r="114" spans="2:16">
      <c r="B114" s="7" t="str">
        <f t="shared" si="33"/>
        <v/>
      </c>
      <c r="C114" s="50">
        <f>IF(D93="","-",+C113+1)</f>
        <v>2033</v>
      </c>
      <c r="D114" s="12">
        <f>IF(F113+SUM(E$99:E113)=D$92,F113,D$92-SUM(E$99:E113))</f>
        <v>179072.10000000003</v>
      </c>
      <c r="E114" s="354">
        <f t="shared" si="44"/>
        <v>7807</v>
      </c>
      <c r="F114" s="55">
        <f t="shared" si="45"/>
        <v>171265.10000000003</v>
      </c>
      <c r="G114" s="55">
        <f t="shared" si="46"/>
        <v>175168.60000000003</v>
      </c>
      <c r="H114" s="355">
        <f t="shared" si="47"/>
        <v>28760.858282306741</v>
      </c>
      <c r="I114" s="381">
        <f t="shared" si="48"/>
        <v>28760.858282306741</v>
      </c>
      <c r="J114" s="54">
        <f t="shared" si="30"/>
        <v>0</v>
      </c>
      <c r="K114" s="54"/>
      <c r="L114" s="115"/>
      <c r="M114" s="54">
        <f t="shared" si="49"/>
        <v>0</v>
      </c>
      <c r="N114" s="115"/>
      <c r="O114" s="54">
        <f t="shared" si="31"/>
        <v>0</v>
      </c>
      <c r="P114" s="54">
        <f t="shared" si="32"/>
        <v>0</v>
      </c>
    </row>
    <row r="115" spans="2:16">
      <c r="B115" s="7" t="str">
        <f t="shared" si="33"/>
        <v/>
      </c>
      <c r="C115" s="50">
        <f>IF(D93="","-",+C114+1)</f>
        <v>2034</v>
      </c>
      <c r="D115" s="12">
        <f>IF(F114+SUM(E$99:E114)=D$92,F114,D$92-SUM(E$99:E114))</f>
        <v>171265.10000000003</v>
      </c>
      <c r="E115" s="354">
        <f t="shared" si="44"/>
        <v>7807</v>
      </c>
      <c r="F115" s="55">
        <f t="shared" si="45"/>
        <v>163458.10000000003</v>
      </c>
      <c r="G115" s="55">
        <f t="shared" si="46"/>
        <v>167361.60000000003</v>
      </c>
      <c r="H115" s="355">
        <f t="shared" si="47"/>
        <v>27826.976458680998</v>
      </c>
      <c r="I115" s="381">
        <f t="shared" si="48"/>
        <v>27826.976458680998</v>
      </c>
      <c r="J115" s="54">
        <f t="shared" si="30"/>
        <v>0</v>
      </c>
      <c r="K115" s="54"/>
      <c r="L115" s="115"/>
      <c r="M115" s="54">
        <f t="shared" si="49"/>
        <v>0</v>
      </c>
      <c r="N115" s="115"/>
      <c r="O115" s="54">
        <f t="shared" si="31"/>
        <v>0</v>
      </c>
      <c r="P115" s="54">
        <f t="shared" si="32"/>
        <v>0</v>
      </c>
    </row>
    <row r="116" spans="2:16">
      <c r="B116" s="7" t="str">
        <f t="shared" si="33"/>
        <v/>
      </c>
      <c r="C116" s="50">
        <f>IF(D93="","-",+C115+1)</f>
        <v>2035</v>
      </c>
      <c r="D116" s="12">
        <f>IF(F115+SUM(E$99:E115)=D$92,F115,D$92-SUM(E$99:E115))</f>
        <v>163458.10000000003</v>
      </c>
      <c r="E116" s="354">
        <f t="shared" si="44"/>
        <v>7807</v>
      </c>
      <c r="F116" s="55">
        <f t="shared" si="45"/>
        <v>155651.10000000003</v>
      </c>
      <c r="G116" s="55">
        <f t="shared" si="46"/>
        <v>159554.60000000003</v>
      </c>
      <c r="H116" s="355">
        <f t="shared" si="47"/>
        <v>26893.094635055251</v>
      </c>
      <c r="I116" s="381">
        <f t="shared" si="48"/>
        <v>26893.094635055251</v>
      </c>
      <c r="J116" s="54">
        <f t="shared" si="30"/>
        <v>0</v>
      </c>
      <c r="K116" s="54"/>
      <c r="L116" s="115"/>
      <c r="M116" s="54">
        <f t="shared" si="49"/>
        <v>0</v>
      </c>
      <c r="N116" s="115"/>
      <c r="O116" s="54">
        <f t="shared" si="31"/>
        <v>0</v>
      </c>
      <c r="P116" s="54">
        <f t="shared" si="32"/>
        <v>0</v>
      </c>
    </row>
    <row r="117" spans="2:16">
      <c r="B117" s="7" t="str">
        <f t="shared" si="33"/>
        <v/>
      </c>
      <c r="C117" s="50">
        <f>IF(D93="","-",+C116+1)</f>
        <v>2036</v>
      </c>
      <c r="D117" s="12">
        <f>IF(F116+SUM(E$99:E116)=D$92,F116,D$92-SUM(E$99:E116))</f>
        <v>155651.10000000003</v>
      </c>
      <c r="E117" s="354">
        <f t="shared" si="44"/>
        <v>7807</v>
      </c>
      <c r="F117" s="55">
        <f t="shared" si="45"/>
        <v>147844.10000000003</v>
      </c>
      <c r="G117" s="55">
        <f t="shared" si="46"/>
        <v>151747.60000000003</v>
      </c>
      <c r="H117" s="355">
        <f t="shared" si="47"/>
        <v>25959.212811429508</v>
      </c>
      <c r="I117" s="381">
        <f t="shared" si="48"/>
        <v>25959.212811429508</v>
      </c>
      <c r="J117" s="54">
        <f t="shared" si="30"/>
        <v>0</v>
      </c>
      <c r="K117" s="54"/>
      <c r="L117" s="115"/>
      <c r="M117" s="54">
        <f t="shared" si="49"/>
        <v>0</v>
      </c>
      <c r="N117" s="115"/>
      <c r="O117" s="54">
        <f t="shared" si="31"/>
        <v>0</v>
      </c>
      <c r="P117" s="54">
        <f t="shared" si="32"/>
        <v>0</v>
      </c>
    </row>
    <row r="118" spans="2:16">
      <c r="B118" s="7" t="str">
        <f t="shared" si="33"/>
        <v/>
      </c>
      <c r="C118" s="50">
        <f>IF(D93="","-",+C117+1)</f>
        <v>2037</v>
      </c>
      <c r="D118" s="12">
        <f>IF(F117+SUM(E$99:E117)=D$92,F117,D$92-SUM(E$99:E117))</f>
        <v>147844.10000000003</v>
      </c>
      <c r="E118" s="354">
        <f t="shared" si="44"/>
        <v>7807</v>
      </c>
      <c r="F118" s="55">
        <f t="shared" si="45"/>
        <v>140037.10000000003</v>
      </c>
      <c r="G118" s="55">
        <f t="shared" si="46"/>
        <v>143940.60000000003</v>
      </c>
      <c r="H118" s="355">
        <f t="shared" si="47"/>
        <v>25025.330987803762</v>
      </c>
      <c r="I118" s="381">
        <f t="shared" si="48"/>
        <v>25025.330987803762</v>
      </c>
      <c r="J118" s="54">
        <f t="shared" si="30"/>
        <v>0</v>
      </c>
      <c r="K118" s="54"/>
      <c r="L118" s="115"/>
      <c r="M118" s="54">
        <f t="shared" si="49"/>
        <v>0</v>
      </c>
      <c r="N118" s="115"/>
      <c r="O118" s="54">
        <f t="shared" si="31"/>
        <v>0</v>
      </c>
      <c r="P118" s="54">
        <f t="shared" si="32"/>
        <v>0</v>
      </c>
    </row>
    <row r="119" spans="2:16">
      <c r="B119" s="7" t="str">
        <f t="shared" si="33"/>
        <v/>
      </c>
      <c r="C119" s="50">
        <f>IF(D93="","-",+C118+1)</f>
        <v>2038</v>
      </c>
      <c r="D119" s="12">
        <f>IF(F118+SUM(E$99:E118)=D$92,F118,D$92-SUM(E$99:E118))</f>
        <v>140037.10000000003</v>
      </c>
      <c r="E119" s="354">
        <f t="shared" si="44"/>
        <v>7807</v>
      </c>
      <c r="F119" s="55">
        <f t="shared" si="45"/>
        <v>132230.10000000003</v>
      </c>
      <c r="G119" s="55">
        <f t="shared" si="46"/>
        <v>136133.60000000003</v>
      </c>
      <c r="H119" s="355">
        <f t="shared" si="47"/>
        <v>24091.449164178019</v>
      </c>
      <c r="I119" s="381">
        <f t="shared" si="48"/>
        <v>24091.449164178019</v>
      </c>
      <c r="J119" s="54">
        <f t="shared" si="30"/>
        <v>0</v>
      </c>
      <c r="K119" s="54"/>
      <c r="L119" s="115"/>
      <c r="M119" s="54">
        <f t="shared" si="49"/>
        <v>0</v>
      </c>
      <c r="N119" s="115"/>
      <c r="O119" s="54">
        <f t="shared" si="31"/>
        <v>0</v>
      </c>
      <c r="P119" s="54">
        <f t="shared" si="32"/>
        <v>0</v>
      </c>
    </row>
    <row r="120" spans="2:16">
      <c r="B120" s="7" t="str">
        <f t="shared" si="33"/>
        <v/>
      </c>
      <c r="C120" s="50">
        <f>IF(D93="","-",+C119+1)</f>
        <v>2039</v>
      </c>
      <c r="D120" s="12">
        <f>IF(F119+SUM(E$99:E119)=D$92,F119,D$92-SUM(E$99:E119))</f>
        <v>132230.10000000003</v>
      </c>
      <c r="E120" s="354">
        <f t="shared" si="44"/>
        <v>7807</v>
      </c>
      <c r="F120" s="55">
        <f t="shared" si="45"/>
        <v>124423.10000000003</v>
      </c>
      <c r="G120" s="55">
        <f t="shared" si="46"/>
        <v>128326.60000000003</v>
      </c>
      <c r="H120" s="355">
        <f t="shared" si="47"/>
        <v>23157.567340552272</v>
      </c>
      <c r="I120" s="381">
        <f t="shared" si="48"/>
        <v>23157.567340552272</v>
      </c>
      <c r="J120" s="54">
        <f t="shared" si="30"/>
        <v>0</v>
      </c>
      <c r="K120" s="54"/>
      <c r="L120" s="115"/>
      <c r="M120" s="54">
        <f t="shared" si="49"/>
        <v>0</v>
      </c>
      <c r="N120" s="115"/>
      <c r="O120" s="54">
        <f t="shared" si="31"/>
        <v>0</v>
      </c>
      <c r="P120" s="54">
        <f t="shared" si="32"/>
        <v>0</v>
      </c>
    </row>
    <row r="121" spans="2:16">
      <c r="B121" s="7" t="str">
        <f t="shared" si="33"/>
        <v/>
      </c>
      <c r="C121" s="50">
        <f>IF(D93="","-",+C120+1)</f>
        <v>2040</v>
      </c>
      <c r="D121" s="12">
        <f>IF(F120+SUM(E$99:E120)=D$92,F120,D$92-SUM(E$99:E120))</f>
        <v>124423.10000000003</v>
      </c>
      <c r="E121" s="354">
        <f t="shared" si="44"/>
        <v>7807</v>
      </c>
      <c r="F121" s="55">
        <f t="shared" si="45"/>
        <v>116616.10000000003</v>
      </c>
      <c r="G121" s="55">
        <f t="shared" si="46"/>
        <v>120519.60000000003</v>
      </c>
      <c r="H121" s="355">
        <f t="shared" si="47"/>
        <v>22223.685516926525</v>
      </c>
      <c r="I121" s="381">
        <f t="shared" si="48"/>
        <v>22223.685516926525</v>
      </c>
      <c r="J121" s="54">
        <f t="shared" si="30"/>
        <v>0</v>
      </c>
      <c r="K121" s="54"/>
      <c r="L121" s="115"/>
      <c r="M121" s="54">
        <f t="shared" si="49"/>
        <v>0</v>
      </c>
      <c r="N121" s="115"/>
      <c r="O121" s="54">
        <f t="shared" si="31"/>
        <v>0</v>
      </c>
      <c r="P121" s="54">
        <f t="shared" si="32"/>
        <v>0</v>
      </c>
    </row>
    <row r="122" spans="2:16">
      <c r="B122" s="7" t="str">
        <f t="shared" si="33"/>
        <v/>
      </c>
      <c r="C122" s="50">
        <f>IF(D93="","-",+C121+1)</f>
        <v>2041</v>
      </c>
      <c r="D122" s="12">
        <f>IF(F121+SUM(E$99:E121)=D$92,F121,D$92-SUM(E$99:E121))</f>
        <v>116616.10000000003</v>
      </c>
      <c r="E122" s="354">
        <f t="shared" si="44"/>
        <v>7807</v>
      </c>
      <c r="F122" s="55">
        <f t="shared" si="45"/>
        <v>108809.10000000003</v>
      </c>
      <c r="G122" s="55">
        <f t="shared" si="46"/>
        <v>112712.60000000003</v>
      </c>
      <c r="H122" s="355">
        <f t="shared" si="47"/>
        <v>21289.803693300782</v>
      </c>
      <c r="I122" s="381">
        <f t="shared" si="48"/>
        <v>21289.803693300782</v>
      </c>
      <c r="J122" s="54">
        <f t="shared" si="30"/>
        <v>0</v>
      </c>
      <c r="K122" s="54"/>
      <c r="L122" s="115"/>
      <c r="M122" s="54">
        <f t="shared" si="49"/>
        <v>0</v>
      </c>
      <c r="N122" s="115"/>
      <c r="O122" s="54">
        <f t="shared" si="31"/>
        <v>0</v>
      </c>
      <c r="P122" s="54">
        <f t="shared" si="32"/>
        <v>0</v>
      </c>
    </row>
    <row r="123" spans="2:16">
      <c r="B123" s="7" t="str">
        <f t="shared" si="33"/>
        <v/>
      </c>
      <c r="C123" s="50">
        <f>IF(D93="","-",+C122+1)</f>
        <v>2042</v>
      </c>
      <c r="D123" s="12">
        <f>IF(F122+SUM(E$99:E122)=D$92,F122,D$92-SUM(E$99:E122))</f>
        <v>108809.10000000003</v>
      </c>
      <c r="E123" s="354">
        <f t="shared" si="44"/>
        <v>7807</v>
      </c>
      <c r="F123" s="55">
        <f t="shared" si="45"/>
        <v>101002.10000000003</v>
      </c>
      <c r="G123" s="55">
        <f t="shared" si="46"/>
        <v>104905.60000000003</v>
      </c>
      <c r="H123" s="355">
        <f t="shared" si="47"/>
        <v>20355.921869675036</v>
      </c>
      <c r="I123" s="381">
        <f t="shared" si="48"/>
        <v>20355.921869675036</v>
      </c>
      <c r="J123" s="54">
        <f t="shared" si="30"/>
        <v>0</v>
      </c>
      <c r="K123" s="54"/>
      <c r="L123" s="115"/>
      <c r="M123" s="54">
        <f t="shared" si="49"/>
        <v>0</v>
      </c>
      <c r="N123" s="115"/>
      <c r="O123" s="54">
        <f t="shared" si="31"/>
        <v>0</v>
      </c>
      <c r="P123" s="54">
        <f t="shared" si="32"/>
        <v>0</v>
      </c>
    </row>
    <row r="124" spans="2:16">
      <c r="B124" s="7" t="str">
        <f t="shared" si="33"/>
        <v/>
      </c>
      <c r="C124" s="50">
        <f>IF(D93="","-",+C123+1)</f>
        <v>2043</v>
      </c>
      <c r="D124" s="12">
        <f>IF(F123+SUM(E$99:E123)=D$92,F123,D$92-SUM(E$99:E123))</f>
        <v>101002.10000000003</v>
      </c>
      <c r="E124" s="354">
        <f t="shared" si="44"/>
        <v>7807</v>
      </c>
      <c r="F124" s="55">
        <f t="shared" si="45"/>
        <v>93195.100000000035</v>
      </c>
      <c r="G124" s="55">
        <f t="shared" si="46"/>
        <v>97098.600000000035</v>
      </c>
      <c r="H124" s="355">
        <f t="shared" si="47"/>
        <v>19422.040046049289</v>
      </c>
      <c r="I124" s="381">
        <f t="shared" si="48"/>
        <v>19422.040046049289</v>
      </c>
      <c r="J124" s="54">
        <f t="shared" si="30"/>
        <v>0</v>
      </c>
      <c r="K124" s="54"/>
      <c r="L124" s="115"/>
      <c r="M124" s="54">
        <f t="shared" si="49"/>
        <v>0</v>
      </c>
      <c r="N124" s="115"/>
      <c r="O124" s="54">
        <f t="shared" si="31"/>
        <v>0</v>
      </c>
      <c r="P124" s="54">
        <f t="shared" si="32"/>
        <v>0</v>
      </c>
    </row>
    <row r="125" spans="2:16">
      <c r="B125" s="7" t="str">
        <f t="shared" si="33"/>
        <v/>
      </c>
      <c r="C125" s="50">
        <f>IF(D93="","-",+C124+1)</f>
        <v>2044</v>
      </c>
      <c r="D125" s="12">
        <f>IF(F124+SUM(E$99:E124)=D$92,F124,D$92-SUM(E$99:E124))</f>
        <v>93195.100000000035</v>
      </c>
      <c r="E125" s="354">
        <f t="shared" si="44"/>
        <v>7807</v>
      </c>
      <c r="F125" s="55">
        <f t="shared" si="45"/>
        <v>85388.100000000035</v>
      </c>
      <c r="G125" s="55">
        <f t="shared" si="46"/>
        <v>89291.600000000035</v>
      </c>
      <c r="H125" s="355">
        <f t="shared" si="47"/>
        <v>18488.158222423546</v>
      </c>
      <c r="I125" s="381">
        <f t="shared" si="48"/>
        <v>18488.158222423546</v>
      </c>
      <c r="J125" s="54">
        <f t="shared" si="30"/>
        <v>0</v>
      </c>
      <c r="K125" s="54"/>
      <c r="L125" s="115"/>
      <c r="M125" s="54">
        <f t="shared" si="49"/>
        <v>0</v>
      </c>
      <c r="N125" s="115"/>
      <c r="O125" s="54">
        <f t="shared" si="31"/>
        <v>0</v>
      </c>
      <c r="P125" s="54">
        <f t="shared" si="32"/>
        <v>0</v>
      </c>
    </row>
    <row r="126" spans="2:16">
      <c r="B126" s="7" t="str">
        <f t="shared" si="33"/>
        <v/>
      </c>
      <c r="C126" s="50">
        <f>IF(D93="","-",+C125+1)</f>
        <v>2045</v>
      </c>
      <c r="D126" s="12">
        <f>IF(F125+SUM(E$99:E125)=D$92,F125,D$92-SUM(E$99:E125))</f>
        <v>85388.100000000035</v>
      </c>
      <c r="E126" s="354">
        <f t="shared" si="44"/>
        <v>7807</v>
      </c>
      <c r="F126" s="55">
        <f t="shared" si="45"/>
        <v>77581.100000000035</v>
      </c>
      <c r="G126" s="55">
        <f t="shared" si="46"/>
        <v>81484.600000000035</v>
      </c>
      <c r="H126" s="355">
        <f t="shared" si="47"/>
        <v>17554.2763987978</v>
      </c>
      <c r="I126" s="381">
        <f t="shared" si="48"/>
        <v>17554.2763987978</v>
      </c>
      <c r="J126" s="54">
        <f t="shared" si="30"/>
        <v>0</v>
      </c>
      <c r="K126" s="54"/>
      <c r="L126" s="115"/>
      <c r="M126" s="54">
        <f t="shared" si="49"/>
        <v>0</v>
      </c>
      <c r="N126" s="115"/>
      <c r="O126" s="54">
        <f t="shared" si="31"/>
        <v>0</v>
      </c>
      <c r="P126" s="54">
        <f t="shared" si="32"/>
        <v>0</v>
      </c>
    </row>
    <row r="127" spans="2:16">
      <c r="B127" s="7" t="str">
        <f t="shared" si="33"/>
        <v/>
      </c>
      <c r="C127" s="50">
        <f>IF(D93="","-",+C126+1)</f>
        <v>2046</v>
      </c>
      <c r="D127" s="12">
        <f>IF(F126+SUM(E$99:E126)=D$92,F126,D$92-SUM(E$99:E126))</f>
        <v>77581.100000000035</v>
      </c>
      <c r="E127" s="354">
        <f t="shared" si="44"/>
        <v>7807</v>
      </c>
      <c r="F127" s="55">
        <f t="shared" si="45"/>
        <v>69774.100000000035</v>
      </c>
      <c r="G127" s="55">
        <f t="shared" si="46"/>
        <v>73677.600000000035</v>
      </c>
      <c r="H127" s="355">
        <f t="shared" si="47"/>
        <v>16620.394575172053</v>
      </c>
      <c r="I127" s="381">
        <f t="shared" si="48"/>
        <v>16620.394575172053</v>
      </c>
      <c r="J127" s="54">
        <f t="shared" si="30"/>
        <v>0</v>
      </c>
      <c r="K127" s="54"/>
      <c r="L127" s="115"/>
      <c r="M127" s="54">
        <f t="shared" si="49"/>
        <v>0</v>
      </c>
      <c r="N127" s="115"/>
      <c r="O127" s="54">
        <f t="shared" si="31"/>
        <v>0</v>
      </c>
      <c r="P127" s="54">
        <f t="shared" si="32"/>
        <v>0</v>
      </c>
    </row>
    <row r="128" spans="2:16">
      <c r="B128" s="7" t="str">
        <f t="shared" si="33"/>
        <v/>
      </c>
      <c r="C128" s="50">
        <f>IF(D93="","-",+C127+1)</f>
        <v>2047</v>
      </c>
      <c r="D128" s="12">
        <f>IF(F127+SUM(E$99:E127)=D$92,F127,D$92-SUM(E$99:E127))</f>
        <v>69774.100000000035</v>
      </c>
      <c r="E128" s="354">
        <f t="shared" si="44"/>
        <v>7807</v>
      </c>
      <c r="F128" s="55">
        <f t="shared" si="45"/>
        <v>61967.100000000035</v>
      </c>
      <c r="G128" s="55">
        <f t="shared" si="46"/>
        <v>65870.600000000035</v>
      </c>
      <c r="H128" s="355">
        <f t="shared" si="47"/>
        <v>15686.51275154631</v>
      </c>
      <c r="I128" s="381">
        <f t="shared" si="48"/>
        <v>15686.51275154631</v>
      </c>
      <c r="J128" s="54">
        <f t="shared" si="30"/>
        <v>0</v>
      </c>
      <c r="K128" s="54"/>
      <c r="L128" s="115"/>
      <c r="M128" s="54">
        <f t="shared" si="49"/>
        <v>0</v>
      </c>
      <c r="N128" s="115"/>
      <c r="O128" s="54">
        <f t="shared" si="31"/>
        <v>0</v>
      </c>
      <c r="P128" s="54">
        <f t="shared" si="32"/>
        <v>0</v>
      </c>
    </row>
    <row r="129" spans="2:16">
      <c r="B129" s="7" t="str">
        <f t="shared" si="33"/>
        <v/>
      </c>
      <c r="C129" s="50">
        <f>IF(D93="","-",+C128+1)</f>
        <v>2048</v>
      </c>
      <c r="D129" s="12">
        <f>IF(F128+SUM(E$99:E128)=D$92,F128,D$92-SUM(E$99:E128))</f>
        <v>61967.100000000035</v>
      </c>
      <c r="E129" s="354">
        <f t="shared" si="44"/>
        <v>7807</v>
      </c>
      <c r="F129" s="55">
        <f t="shared" si="45"/>
        <v>54160.100000000035</v>
      </c>
      <c r="G129" s="55">
        <f t="shared" si="46"/>
        <v>58063.600000000035</v>
      </c>
      <c r="H129" s="355">
        <f t="shared" si="47"/>
        <v>14752.630927920565</v>
      </c>
      <c r="I129" s="381">
        <f t="shared" si="48"/>
        <v>14752.630927920565</v>
      </c>
      <c r="J129" s="54">
        <f t="shared" si="30"/>
        <v>0</v>
      </c>
      <c r="K129" s="54"/>
      <c r="L129" s="115"/>
      <c r="M129" s="54">
        <f t="shared" si="49"/>
        <v>0</v>
      </c>
      <c r="N129" s="115"/>
      <c r="O129" s="54">
        <f t="shared" si="31"/>
        <v>0</v>
      </c>
      <c r="P129" s="54">
        <f t="shared" si="32"/>
        <v>0</v>
      </c>
    </row>
    <row r="130" spans="2:16">
      <c r="B130" s="7" t="str">
        <f t="shared" si="33"/>
        <v/>
      </c>
      <c r="C130" s="50">
        <f>IF(D93="","-",+C129+1)</f>
        <v>2049</v>
      </c>
      <c r="D130" s="12">
        <f>IF(F129+SUM(E$99:E129)=D$92,F129,D$92-SUM(E$99:E129))</f>
        <v>54160.100000000035</v>
      </c>
      <c r="E130" s="354">
        <f t="shared" si="44"/>
        <v>7807</v>
      </c>
      <c r="F130" s="55">
        <f t="shared" si="45"/>
        <v>46353.100000000035</v>
      </c>
      <c r="G130" s="55">
        <f t="shared" si="46"/>
        <v>50256.600000000035</v>
      </c>
      <c r="H130" s="355">
        <f t="shared" si="47"/>
        <v>13818.74910429482</v>
      </c>
      <c r="I130" s="381">
        <f t="shared" si="48"/>
        <v>13818.74910429482</v>
      </c>
      <c r="J130" s="54">
        <f t="shared" si="30"/>
        <v>0</v>
      </c>
      <c r="K130" s="54"/>
      <c r="L130" s="115"/>
      <c r="M130" s="54">
        <f t="shared" si="49"/>
        <v>0</v>
      </c>
      <c r="N130" s="115"/>
      <c r="O130" s="54">
        <f t="shared" si="31"/>
        <v>0</v>
      </c>
      <c r="P130" s="54">
        <f t="shared" si="32"/>
        <v>0</v>
      </c>
    </row>
    <row r="131" spans="2:16">
      <c r="B131" s="7" t="str">
        <f t="shared" si="33"/>
        <v/>
      </c>
      <c r="C131" s="50">
        <f>IF(D93="","-",+C130+1)</f>
        <v>2050</v>
      </c>
      <c r="D131" s="12">
        <f>IF(F130+SUM(E$99:E130)=D$92,F130,D$92-SUM(E$99:E130))</f>
        <v>46353.100000000035</v>
      </c>
      <c r="E131" s="354">
        <f t="shared" si="44"/>
        <v>7807</v>
      </c>
      <c r="F131" s="55">
        <f t="shared" si="45"/>
        <v>38546.100000000035</v>
      </c>
      <c r="G131" s="55">
        <f t="shared" si="46"/>
        <v>42449.600000000035</v>
      </c>
      <c r="H131" s="355">
        <f t="shared" si="47"/>
        <v>12884.867280669074</v>
      </c>
      <c r="I131" s="381">
        <f t="shared" si="48"/>
        <v>12884.867280669074</v>
      </c>
      <c r="J131" s="54">
        <f t="shared" ref="J131:J154" si="50">+I541-H541</f>
        <v>0</v>
      </c>
      <c r="K131" s="54"/>
      <c r="L131" s="115"/>
      <c r="M131" s="54">
        <f t="shared" ref="M131:M154" si="51">IF(L541&lt;&gt;0,+H541-L541,0)</f>
        <v>0</v>
      </c>
      <c r="N131" s="115"/>
      <c r="O131" s="54">
        <f t="shared" ref="O131:O154" si="52">IF(N541&lt;&gt;0,+I541-N541,0)</f>
        <v>0</v>
      </c>
      <c r="P131" s="54">
        <f t="shared" ref="P131:P154" si="53">+O541-M541</f>
        <v>0</v>
      </c>
    </row>
    <row r="132" spans="2:16">
      <c r="B132" s="7" t="str">
        <f t="shared" si="33"/>
        <v/>
      </c>
      <c r="C132" s="50">
        <f>IF(D93="","-",+C131+1)</f>
        <v>2051</v>
      </c>
      <c r="D132" s="12">
        <f>IF(F131+SUM(E$99:E131)=D$92,F131,D$92-SUM(E$99:E131))</f>
        <v>38546.100000000035</v>
      </c>
      <c r="E132" s="354">
        <f t="shared" si="44"/>
        <v>7807</v>
      </c>
      <c r="F132" s="55">
        <f t="shared" si="45"/>
        <v>30739.100000000035</v>
      </c>
      <c r="G132" s="55">
        <f t="shared" si="46"/>
        <v>34642.600000000035</v>
      </c>
      <c r="H132" s="355">
        <f t="shared" si="47"/>
        <v>11950.985457043329</v>
      </c>
      <c r="I132" s="381">
        <f t="shared" si="48"/>
        <v>11950.985457043329</v>
      </c>
      <c r="J132" s="54">
        <f t="shared" si="50"/>
        <v>0</v>
      </c>
      <c r="K132" s="54"/>
      <c r="L132" s="115"/>
      <c r="M132" s="54">
        <f t="shared" si="51"/>
        <v>0</v>
      </c>
      <c r="N132" s="115"/>
      <c r="O132" s="54">
        <f t="shared" si="52"/>
        <v>0</v>
      </c>
      <c r="P132" s="54">
        <f t="shared" si="53"/>
        <v>0</v>
      </c>
    </row>
    <row r="133" spans="2:16">
      <c r="B133" s="7" t="str">
        <f t="shared" si="33"/>
        <v/>
      </c>
      <c r="C133" s="50">
        <f>IF(D93="","-",+C132+1)</f>
        <v>2052</v>
      </c>
      <c r="D133" s="12">
        <f>IF(F132+SUM(E$99:E132)=D$92,F132,D$92-SUM(E$99:E132))</f>
        <v>30739.100000000035</v>
      </c>
      <c r="E133" s="354">
        <f t="shared" si="44"/>
        <v>7807</v>
      </c>
      <c r="F133" s="55">
        <f t="shared" si="45"/>
        <v>22932.100000000035</v>
      </c>
      <c r="G133" s="55">
        <f t="shared" si="46"/>
        <v>26835.600000000035</v>
      </c>
      <c r="H133" s="355">
        <f t="shared" si="47"/>
        <v>11017.103633417584</v>
      </c>
      <c r="I133" s="381">
        <f t="shared" si="48"/>
        <v>11017.103633417584</v>
      </c>
      <c r="J133" s="54">
        <f t="shared" si="50"/>
        <v>0</v>
      </c>
      <c r="K133" s="54"/>
      <c r="L133" s="115"/>
      <c r="M133" s="54">
        <f t="shared" si="51"/>
        <v>0</v>
      </c>
      <c r="N133" s="115"/>
      <c r="O133" s="54">
        <f t="shared" si="52"/>
        <v>0</v>
      </c>
      <c r="P133" s="54">
        <f t="shared" si="53"/>
        <v>0</v>
      </c>
    </row>
    <row r="134" spans="2:16">
      <c r="B134" s="7" t="str">
        <f t="shared" si="33"/>
        <v/>
      </c>
      <c r="C134" s="50">
        <f>IF(D93="","-",+C133+1)</f>
        <v>2053</v>
      </c>
      <c r="D134" s="12">
        <f>IF(F133+SUM(E$99:E133)=D$92,F133,D$92-SUM(E$99:E133))</f>
        <v>22932.100000000035</v>
      </c>
      <c r="E134" s="354">
        <f t="shared" si="44"/>
        <v>7807</v>
      </c>
      <c r="F134" s="55">
        <f t="shared" si="45"/>
        <v>15125.100000000035</v>
      </c>
      <c r="G134" s="55">
        <f t="shared" si="46"/>
        <v>19028.600000000035</v>
      </c>
      <c r="H134" s="355">
        <f t="shared" si="47"/>
        <v>10083.221809791839</v>
      </c>
      <c r="I134" s="381">
        <f t="shared" si="48"/>
        <v>10083.221809791839</v>
      </c>
      <c r="J134" s="54">
        <f t="shared" si="50"/>
        <v>0</v>
      </c>
      <c r="K134" s="54"/>
      <c r="L134" s="115"/>
      <c r="M134" s="54">
        <f t="shared" si="51"/>
        <v>0</v>
      </c>
      <c r="N134" s="115"/>
      <c r="O134" s="54">
        <f t="shared" si="52"/>
        <v>0</v>
      </c>
      <c r="P134" s="54">
        <f t="shared" si="53"/>
        <v>0</v>
      </c>
    </row>
    <row r="135" spans="2:16">
      <c r="B135" s="7" t="str">
        <f t="shared" si="33"/>
        <v/>
      </c>
      <c r="C135" s="50">
        <f>IF(D93="","-",+C134+1)</f>
        <v>2054</v>
      </c>
      <c r="D135" s="12">
        <f>IF(F134+SUM(E$99:E134)=D$92,F134,D$92-SUM(E$99:E134))</f>
        <v>15125.100000000035</v>
      </c>
      <c r="E135" s="354">
        <f t="shared" si="44"/>
        <v>7807</v>
      </c>
      <c r="F135" s="55">
        <f t="shared" si="45"/>
        <v>7318.1000000000349</v>
      </c>
      <c r="G135" s="55">
        <f t="shared" si="46"/>
        <v>11221.600000000035</v>
      </c>
      <c r="H135" s="355">
        <f t="shared" si="47"/>
        <v>9149.3399861660946</v>
      </c>
      <c r="I135" s="381">
        <f t="shared" si="48"/>
        <v>9149.3399861660946</v>
      </c>
      <c r="J135" s="54">
        <f t="shared" si="50"/>
        <v>0</v>
      </c>
      <c r="K135" s="54"/>
      <c r="L135" s="115"/>
      <c r="M135" s="54">
        <f t="shared" si="51"/>
        <v>0</v>
      </c>
      <c r="N135" s="115"/>
      <c r="O135" s="54">
        <f t="shared" si="52"/>
        <v>0</v>
      </c>
      <c r="P135" s="54">
        <f t="shared" si="53"/>
        <v>0</v>
      </c>
    </row>
    <row r="136" spans="2:16">
      <c r="B136" s="7" t="str">
        <f t="shared" si="33"/>
        <v/>
      </c>
      <c r="C136" s="50">
        <f>IF(D93="","-",+C135+1)</f>
        <v>2055</v>
      </c>
      <c r="D136" s="12">
        <f>IF(F135+SUM(E$99:E135)=D$92,F135,D$92-SUM(E$99:E135))</f>
        <v>7318.1000000000349</v>
      </c>
      <c r="E136" s="354">
        <f t="shared" si="44"/>
        <v>7318.1000000000349</v>
      </c>
      <c r="F136" s="55">
        <f t="shared" si="45"/>
        <v>0</v>
      </c>
      <c r="G136" s="55">
        <f t="shared" si="46"/>
        <v>3659.0500000000175</v>
      </c>
      <c r="H136" s="355">
        <f t="shared" si="47"/>
        <v>7755.7995371766456</v>
      </c>
      <c r="I136" s="381">
        <f t="shared" si="48"/>
        <v>7755.7995371766456</v>
      </c>
      <c r="J136" s="54">
        <f t="shared" si="50"/>
        <v>0</v>
      </c>
      <c r="K136" s="54"/>
      <c r="L136" s="115"/>
      <c r="M136" s="54">
        <f t="shared" si="51"/>
        <v>0</v>
      </c>
      <c r="N136" s="115"/>
      <c r="O136" s="54">
        <f t="shared" si="52"/>
        <v>0</v>
      </c>
      <c r="P136" s="54">
        <f t="shared" si="53"/>
        <v>0</v>
      </c>
    </row>
    <row r="137" spans="2:16">
      <c r="B137" s="7" t="str">
        <f t="shared" si="33"/>
        <v/>
      </c>
      <c r="C137" s="50">
        <f>IF(D93="","-",+C136+1)</f>
        <v>2056</v>
      </c>
      <c r="D137" s="12">
        <f>IF(F136+SUM(E$99:E136)=D$92,F136,D$92-SUM(E$99:E136))</f>
        <v>0</v>
      </c>
      <c r="E137" s="354">
        <f t="shared" si="44"/>
        <v>0</v>
      </c>
      <c r="F137" s="55">
        <f t="shared" si="45"/>
        <v>0</v>
      </c>
      <c r="G137" s="55">
        <f t="shared" si="46"/>
        <v>0</v>
      </c>
      <c r="H137" s="355">
        <f t="shared" si="47"/>
        <v>0</v>
      </c>
      <c r="I137" s="381">
        <f t="shared" si="48"/>
        <v>0</v>
      </c>
      <c r="J137" s="54">
        <f t="shared" si="50"/>
        <v>0</v>
      </c>
      <c r="K137" s="54"/>
      <c r="L137" s="115"/>
      <c r="M137" s="54">
        <f t="shared" si="51"/>
        <v>0</v>
      </c>
      <c r="N137" s="115"/>
      <c r="O137" s="54">
        <f t="shared" si="52"/>
        <v>0</v>
      </c>
      <c r="P137" s="54">
        <f t="shared" si="53"/>
        <v>0</v>
      </c>
    </row>
    <row r="138" spans="2:16">
      <c r="B138" s="7" t="str">
        <f t="shared" si="33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44"/>
        <v>0</v>
      </c>
      <c r="F138" s="55">
        <f t="shared" si="45"/>
        <v>0</v>
      </c>
      <c r="G138" s="55">
        <f t="shared" si="46"/>
        <v>0</v>
      </c>
      <c r="H138" s="355">
        <f t="shared" si="47"/>
        <v>0</v>
      </c>
      <c r="I138" s="381">
        <f t="shared" si="48"/>
        <v>0</v>
      </c>
      <c r="J138" s="54">
        <f t="shared" si="50"/>
        <v>0</v>
      </c>
      <c r="K138" s="54"/>
      <c r="L138" s="115"/>
      <c r="M138" s="54">
        <f t="shared" si="51"/>
        <v>0</v>
      </c>
      <c r="N138" s="115"/>
      <c r="O138" s="54">
        <f t="shared" si="52"/>
        <v>0</v>
      </c>
      <c r="P138" s="54">
        <f t="shared" si="53"/>
        <v>0</v>
      </c>
    </row>
    <row r="139" spans="2:16">
      <c r="B139" s="7" t="str">
        <f t="shared" si="33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44"/>
        <v>0</v>
      </c>
      <c r="F139" s="55">
        <f t="shared" si="45"/>
        <v>0</v>
      </c>
      <c r="G139" s="55">
        <f t="shared" si="46"/>
        <v>0</v>
      </c>
      <c r="H139" s="355">
        <f t="shared" si="47"/>
        <v>0</v>
      </c>
      <c r="I139" s="381">
        <f t="shared" si="48"/>
        <v>0</v>
      </c>
      <c r="J139" s="54">
        <f t="shared" si="50"/>
        <v>0</v>
      </c>
      <c r="K139" s="54"/>
      <c r="L139" s="115"/>
      <c r="M139" s="54">
        <f t="shared" si="51"/>
        <v>0</v>
      </c>
      <c r="N139" s="115"/>
      <c r="O139" s="54">
        <f t="shared" si="52"/>
        <v>0</v>
      </c>
      <c r="P139" s="54">
        <f t="shared" si="53"/>
        <v>0</v>
      </c>
    </row>
    <row r="140" spans="2:16">
      <c r="B140" s="7" t="str">
        <f t="shared" si="33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44"/>
        <v>0</v>
      </c>
      <c r="F140" s="55">
        <f t="shared" si="45"/>
        <v>0</v>
      </c>
      <c r="G140" s="55">
        <f t="shared" si="46"/>
        <v>0</v>
      </c>
      <c r="H140" s="355">
        <f t="shared" si="47"/>
        <v>0</v>
      </c>
      <c r="I140" s="381">
        <f t="shared" si="48"/>
        <v>0</v>
      </c>
      <c r="J140" s="54">
        <f t="shared" si="50"/>
        <v>0</v>
      </c>
      <c r="K140" s="54"/>
      <c r="L140" s="115"/>
      <c r="M140" s="54">
        <f t="shared" si="51"/>
        <v>0</v>
      </c>
      <c r="N140" s="115"/>
      <c r="O140" s="54">
        <f t="shared" si="52"/>
        <v>0</v>
      </c>
      <c r="P140" s="54">
        <f t="shared" si="53"/>
        <v>0</v>
      </c>
    </row>
    <row r="141" spans="2:16">
      <c r="B141" s="7" t="str">
        <f t="shared" si="33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44"/>
        <v>0</v>
      </c>
      <c r="F141" s="55">
        <f t="shared" si="45"/>
        <v>0</v>
      </c>
      <c r="G141" s="55">
        <f t="shared" si="46"/>
        <v>0</v>
      </c>
      <c r="H141" s="355">
        <f t="shared" si="47"/>
        <v>0</v>
      </c>
      <c r="I141" s="381">
        <f t="shared" si="48"/>
        <v>0</v>
      </c>
      <c r="J141" s="54">
        <f t="shared" si="50"/>
        <v>0</v>
      </c>
      <c r="K141" s="54"/>
      <c r="L141" s="115"/>
      <c r="M141" s="54">
        <f t="shared" si="51"/>
        <v>0</v>
      </c>
      <c r="N141" s="115"/>
      <c r="O141" s="54">
        <f t="shared" si="52"/>
        <v>0</v>
      </c>
      <c r="P141" s="54">
        <f t="shared" si="53"/>
        <v>0</v>
      </c>
    </row>
    <row r="142" spans="2:16">
      <c r="B142" s="7" t="str">
        <f t="shared" si="33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44"/>
        <v>0</v>
      </c>
      <c r="F142" s="55">
        <f t="shared" si="45"/>
        <v>0</v>
      </c>
      <c r="G142" s="55">
        <f t="shared" si="46"/>
        <v>0</v>
      </c>
      <c r="H142" s="355">
        <f t="shared" si="47"/>
        <v>0</v>
      </c>
      <c r="I142" s="381">
        <f t="shared" si="48"/>
        <v>0</v>
      </c>
      <c r="J142" s="54">
        <f t="shared" si="50"/>
        <v>0</v>
      </c>
      <c r="K142" s="54"/>
      <c r="L142" s="115"/>
      <c r="M142" s="54">
        <f t="shared" si="51"/>
        <v>0</v>
      </c>
      <c r="N142" s="115"/>
      <c r="O142" s="54">
        <f t="shared" si="52"/>
        <v>0</v>
      </c>
      <c r="P142" s="54">
        <f t="shared" si="53"/>
        <v>0</v>
      </c>
    </row>
    <row r="143" spans="2:16">
      <c r="B143" s="7" t="str">
        <f t="shared" si="33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44"/>
        <v>0</v>
      </c>
      <c r="F143" s="55">
        <f t="shared" si="45"/>
        <v>0</v>
      </c>
      <c r="G143" s="55">
        <f t="shared" si="46"/>
        <v>0</v>
      </c>
      <c r="H143" s="355">
        <f t="shared" si="47"/>
        <v>0</v>
      </c>
      <c r="I143" s="381">
        <f t="shared" si="48"/>
        <v>0</v>
      </c>
      <c r="J143" s="54">
        <f t="shared" si="50"/>
        <v>0</v>
      </c>
      <c r="K143" s="54"/>
      <c r="L143" s="115"/>
      <c r="M143" s="54">
        <f t="shared" si="51"/>
        <v>0</v>
      </c>
      <c r="N143" s="115"/>
      <c r="O143" s="54">
        <f t="shared" si="52"/>
        <v>0</v>
      </c>
      <c r="P143" s="54">
        <f t="shared" si="53"/>
        <v>0</v>
      </c>
    </row>
    <row r="144" spans="2:16">
      <c r="B144" s="7" t="str">
        <f t="shared" si="33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44"/>
        <v>0</v>
      </c>
      <c r="F144" s="55">
        <f t="shared" si="45"/>
        <v>0</v>
      </c>
      <c r="G144" s="55">
        <f t="shared" si="46"/>
        <v>0</v>
      </c>
      <c r="H144" s="355">
        <f t="shared" si="47"/>
        <v>0</v>
      </c>
      <c r="I144" s="381">
        <f t="shared" si="48"/>
        <v>0</v>
      </c>
      <c r="J144" s="54">
        <f t="shared" si="50"/>
        <v>0</v>
      </c>
      <c r="K144" s="54"/>
      <c r="L144" s="115"/>
      <c r="M144" s="54">
        <f t="shared" si="51"/>
        <v>0</v>
      </c>
      <c r="N144" s="115"/>
      <c r="O144" s="54">
        <f t="shared" si="52"/>
        <v>0</v>
      </c>
      <c r="P144" s="54">
        <f t="shared" si="53"/>
        <v>0</v>
      </c>
    </row>
    <row r="145" spans="2:16">
      <c r="B145" s="7" t="str">
        <f t="shared" si="33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44"/>
        <v>0</v>
      </c>
      <c r="F145" s="55">
        <f t="shared" si="45"/>
        <v>0</v>
      </c>
      <c r="G145" s="55">
        <f t="shared" si="46"/>
        <v>0</v>
      </c>
      <c r="H145" s="355">
        <f t="shared" si="47"/>
        <v>0</v>
      </c>
      <c r="I145" s="381">
        <f t="shared" si="48"/>
        <v>0</v>
      </c>
      <c r="J145" s="54">
        <f t="shared" si="50"/>
        <v>0</v>
      </c>
      <c r="K145" s="54"/>
      <c r="L145" s="115"/>
      <c r="M145" s="54">
        <f t="shared" si="51"/>
        <v>0</v>
      </c>
      <c r="N145" s="115"/>
      <c r="O145" s="54">
        <f t="shared" si="52"/>
        <v>0</v>
      </c>
      <c r="P145" s="54">
        <f t="shared" si="53"/>
        <v>0</v>
      </c>
    </row>
    <row r="146" spans="2:16">
      <c r="B146" s="7" t="str">
        <f t="shared" si="33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44"/>
        <v>0</v>
      </c>
      <c r="F146" s="55">
        <f t="shared" si="45"/>
        <v>0</v>
      </c>
      <c r="G146" s="55">
        <f t="shared" si="46"/>
        <v>0</v>
      </c>
      <c r="H146" s="355">
        <f t="shared" si="47"/>
        <v>0</v>
      </c>
      <c r="I146" s="381">
        <f t="shared" si="48"/>
        <v>0</v>
      </c>
      <c r="J146" s="54">
        <f t="shared" si="50"/>
        <v>0</v>
      </c>
      <c r="K146" s="54"/>
      <c r="L146" s="115"/>
      <c r="M146" s="54">
        <f t="shared" si="51"/>
        <v>0</v>
      </c>
      <c r="N146" s="115"/>
      <c r="O146" s="54">
        <f t="shared" si="52"/>
        <v>0</v>
      </c>
      <c r="P146" s="54">
        <f t="shared" si="53"/>
        <v>0</v>
      </c>
    </row>
    <row r="147" spans="2:16">
      <c r="B147" s="7" t="str">
        <f t="shared" si="33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44"/>
        <v>0</v>
      </c>
      <c r="F147" s="55">
        <f t="shared" si="45"/>
        <v>0</v>
      </c>
      <c r="G147" s="55">
        <f t="shared" si="46"/>
        <v>0</v>
      </c>
      <c r="H147" s="355">
        <f t="shared" si="47"/>
        <v>0</v>
      </c>
      <c r="I147" s="381">
        <f t="shared" si="48"/>
        <v>0</v>
      </c>
      <c r="J147" s="54">
        <f t="shared" si="50"/>
        <v>0</v>
      </c>
      <c r="K147" s="54"/>
      <c r="L147" s="115"/>
      <c r="M147" s="54">
        <f t="shared" si="51"/>
        <v>0</v>
      </c>
      <c r="N147" s="115"/>
      <c r="O147" s="54">
        <f t="shared" si="52"/>
        <v>0</v>
      </c>
      <c r="P147" s="54">
        <f t="shared" si="53"/>
        <v>0</v>
      </c>
    </row>
    <row r="148" spans="2:16">
      <c r="B148" s="7" t="str">
        <f t="shared" si="33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44"/>
        <v>0</v>
      </c>
      <c r="F148" s="55">
        <f t="shared" si="45"/>
        <v>0</v>
      </c>
      <c r="G148" s="55">
        <f t="shared" si="46"/>
        <v>0</v>
      </c>
      <c r="H148" s="355">
        <f t="shared" si="47"/>
        <v>0</v>
      </c>
      <c r="I148" s="381">
        <f t="shared" si="48"/>
        <v>0</v>
      </c>
      <c r="J148" s="54">
        <f t="shared" si="50"/>
        <v>0</v>
      </c>
      <c r="K148" s="54"/>
      <c r="L148" s="115"/>
      <c r="M148" s="54">
        <f t="shared" si="51"/>
        <v>0</v>
      </c>
      <c r="N148" s="115"/>
      <c r="O148" s="54">
        <f t="shared" si="52"/>
        <v>0</v>
      </c>
      <c r="P148" s="54">
        <f t="shared" si="53"/>
        <v>0</v>
      </c>
    </row>
    <row r="149" spans="2:16">
      <c r="B149" s="7" t="str">
        <f t="shared" si="33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44"/>
        <v>0</v>
      </c>
      <c r="F149" s="55">
        <f t="shared" si="45"/>
        <v>0</v>
      </c>
      <c r="G149" s="55">
        <f t="shared" si="46"/>
        <v>0</v>
      </c>
      <c r="H149" s="355">
        <f t="shared" si="47"/>
        <v>0</v>
      </c>
      <c r="I149" s="381">
        <f t="shared" si="48"/>
        <v>0</v>
      </c>
      <c r="J149" s="54">
        <f t="shared" si="50"/>
        <v>0</v>
      </c>
      <c r="K149" s="54"/>
      <c r="L149" s="115"/>
      <c r="M149" s="54">
        <f t="shared" si="51"/>
        <v>0</v>
      </c>
      <c r="N149" s="115"/>
      <c r="O149" s="54">
        <f t="shared" si="52"/>
        <v>0</v>
      </c>
      <c r="P149" s="54">
        <f t="shared" si="53"/>
        <v>0</v>
      </c>
    </row>
    <row r="150" spans="2:16">
      <c r="B150" s="7" t="str">
        <f t="shared" si="33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44"/>
        <v>0</v>
      </c>
      <c r="F150" s="55">
        <f t="shared" si="45"/>
        <v>0</v>
      </c>
      <c r="G150" s="55">
        <f t="shared" si="46"/>
        <v>0</v>
      </c>
      <c r="H150" s="355">
        <f t="shared" si="47"/>
        <v>0</v>
      </c>
      <c r="I150" s="381">
        <f t="shared" si="48"/>
        <v>0</v>
      </c>
      <c r="J150" s="54">
        <f t="shared" si="50"/>
        <v>0</v>
      </c>
      <c r="K150" s="54"/>
      <c r="L150" s="115"/>
      <c r="M150" s="54">
        <f t="shared" si="51"/>
        <v>0</v>
      </c>
      <c r="N150" s="115"/>
      <c r="O150" s="54">
        <f t="shared" si="52"/>
        <v>0</v>
      </c>
      <c r="P150" s="54">
        <f t="shared" si="53"/>
        <v>0</v>
      </c>
    </row>
    <row r="151" spans="2:16">
      <c r="B151" s="7" t="str">
        <f t="shared" si="33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44"/>
        <v>0</v>
      </c>
      <c r="F151" s="55">
        <f t="shared" si="45"/>
        <v>0</v>
      </c>
      <c r="G151" s="55">
        <f t="shared" si="46"/>
        <v>0</v>
      </c>
      <c r="H151" s="355">
        <f t="shared" si="47"/>
        <v>0</v>
      </c>
      <c r="I151" s="381">
        <f t="shared" si="48"/>
        <v>0</v>
      </c>
      <c r="J151" s="54">
        <f t="shared" si="50"/>
        <v>0</v>
      </c>
      <c r="K151" s="54"/>
      <c r="L151" s="115"/>
      <c r="M151" s="54">
        <f t="shared" si="51"/>
        <v>0</v>
      </c>
      <c r="N151" s="115"/>
      <c r="O151" s="54">
        <f t="shared" si="52"/>
        <v>0</v>
      </c>
      <c r="P151" s="54">
        <f t="shared" si="53"/>
        <v>0</v>
      </c>
    </row>
    <row r="152" spans="2:16">
      <c r="B152" s="7" t="str">
        <f t="shared" si="33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44"/>
        <v>0</v>
      </c>
      <c r="F152" s="55">
        <f t="shared" si="45"/>
        <v>0</v>
      </c>
      <c r="G152" s="55">
        <f t="shared" si="46"/>
        <v>0</v>
      </c>
      <c r="H152" s="355">
        <f t="shared" si="47"/>
        <v>0</v>
      </c>
      <c r="I152" s="381">
        <f t="shared" si="48"/>
        <v>0</v>
      </c>
      <c r="J152" s="54">
        <f t="shared" si="50"/>
        <v>0</v>
      </c>
      <c r="K152" s="54"/>
      <c r="L152" s="115"/>
      <c r="M152" s="54">
        <f t="shared" si="51"/>
        <v>0</v>
      </c>
      <c r="N152" s="115"/>
      <c r="O152" s="54">
        <f t="shared" si="52"/>
        <v>0</v>
      </c>
      <c r="P152" s="54">
        <f t="shared" si="53"/>
        <v>0</v>
      </c>
    </row>
    <row r="153" spans="2:16">
      <c r="B153" s="7" t="str">
        <f t="shared" si="33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44"/>
        <v>0</v>
      </c>
      <c r="F153" s="55">
        <f t="shared" si="45"/>
        <v>0</v>
      </c>
      <c r="G153" s="55">
        <f t="shared" si="46"/>
        <v>0</v>
      </c>
      <c r="H153" s="355">
        <f t="shared" si="47"/>
        <v>0</v>
      </c>
      <c r="I153" s="381">
        <f t="shared" si="48"/>
        <v>0</v>
      </c>
      <c r="J153" s="54">
        <f t="shared" si="50"/>
        <v>0</v>
      </c>
      <c r="K153" s="54"/>
      <c r="L153" s="115"/>
      <c r="M153" s="54">
        <f t="shared" si="51"/>
        <v>0</v>
      </c>
      <c r="N153" s="115"/>
      <c r="O153" s="54">
        <f t="shared" si="52"/>
        <v>0</v>
      </c>
      <c r="P153" s="54">
        <f t="shared" si="53"/>
        <v>0</v>
      </c>
    </row>
    <row r="154" spans="2:16" ht="13.5" thickBot="1">
      <c r="B154" s="7" t="str">
        <f t="shared" si="33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44"/>
        <v>0</v>
      </c>
      <c r="F154" s="59">
        <f t="shared" si="45"/>
        <v>0</v>
      </c>
      <c r="G154" s="59">
        <f t="shared" si="46"/>
        <v>0</v>
      </c>
      <c r="H154" s="435">
        <f t="shared" ref="H154" si="54">+J$94*G154+E154</f>
        <v>0</v>
      </c>
      <c r="I154" s="436">
        <f t="shared" ref="I154" si="55">+J$95*G154+E154</f>
        <v>0</v>
      </c>
      <c r="J154" s="62">
        <f t="shared" si="50"/>
        <v>0</v>
      </c>
      <c r="K154" s="54"/>
      <c r="L154" s="116"/>
      <c r="M154" s="62">
        <f t="shared" si="51"/>
        <v>0</v>
      </c>
      <c r="N154" s="116"/>
      <c r="O154" s="62">
        <f t="shared" si="52"/>
        <v>0</v>
      </c>
      <c r="P154" s="62">
        <f t="shared" si="53"/>
        <v>0</v>
      </c>
    </row>
    <row r="155" spans="2:16">
      <c r="C155" s="12" t="s">
        <v>77</v>
      </c>
      <c r="D155" s="266"/>
      <c r="E155" s="266">
        <f>SUM(E99:E154)</f>
        <v>288859.60000000003</v>
      </c>
      <c r="F155" s="266"/>
      <c r="G155" s="266"/>
      <c r="H155" s="266">
        <f>SUM(H99:H154)</f>
        <v>934071.098167522</v>
      </c>
      <c r="I155" s="266">
        <f>SUM(I99:I154)</f>
        <v>934071.098167522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5" priority="1" stopIfTrue="1" operator="equal">
      <formula>$I$10</formula>
    </cfRule>
  </conditionalFormatting>
  <conditionalFormatting sqref="C99:C154">
    <cfRule type="cellIs" dxfId="2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162"/>
  <sheetViews>
    <sheetView topLeftCell="C78" zoomScale="86" zoomScaleNormal="86" workbookViewId="0">
      <selection activeCell="G111" sqref="G111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26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1013460.8561585967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1013460.8561585967</v>
      </c>
      <c r="O6" s="1"/>
      <c r="P6" s="1"/>
    </row>
    <row r="7" spans="1:16" ht="13.5" thickBot="1">
      <c r="C7" s="26" t="s">
        <v>46</v>
      </c>
      <c r="D7" s="88" t="s">
        <v>327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329</v>
      </c>
      <c r="E9" s="404" t="s">
        <v>379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8147276.8700000001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2019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214402.02289473685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2019</v>
      </c>
      <c r="D17" s="411">
        <v>0</v>
      </c>
      <c r="E17" s="432">
        <v>0</v>
      </c>
      <c r="F17" s="411">
        <v>5024000</v>
      </c>
      <c r="G17" s="432">
        <v>280481.45781944925</v>
      </c>
      <c r="H17" s="414">
        <v>280481.45781944925</v>
      </c>
      <c r="I17" s="52">
        <f>H17-G17</f>
        <v>0</v>
      </c>
      <c r="J17" s="52"/>
      <c r="K17" s="117">
        <f t="shared" ref="K17:K22" si="0">+G17</f>
        <v>280481.45781944925</v>
      </c>
      <c r="L17" s="53">
        <f t="shared" ref="L17:L18" si="1">IF(K17&lt;&gt;0,+G17-K17,0)</f>
        <v>0</v>
      </c>
      <c r="M17" s="117">
        <f t="shared" ref="M17:M22" si="2">+H17</f>
        <v>280481.45781944925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2020</v>
      </c>
      <c r="D18" s="411">
        <v>7156000</v>
      </c>
      <c r="E18" s="412">
        <v>170380.95238095237</v>
      </c>
      <c r="F18" s="411">
        <v>6985619.0476190476</v>
      </c>
      <c r="G18" s="412">
        <v>934062.15757277235</v>
      </c>
      <c r="H18" s="414">
        <v>934062.15757277235</v>
      </c>
      <c r="I18" s="52">
        <f>H18-G18</f>
        <v>0</v>
      </c>
      <c r="J18" s="52"/>
      <c r="K18" s="54">
        <f t="shared" si="0"/>
        <v>934062.15757277235</v>
      </c>
      <c r="L18" s="54">
        <f t="shared" si="1"/>
        <v>0</v>
      </c>
      <c r="M18" s="54">
        <f t="shared" si="2"/>
        <v>934062.15757277235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>IU</v>
      </c>
      <c r="C19" s="50">
        <f>IF(D11="","-",+C18+1)</f>
        <v>2021</v>
      </c>
      <c r="D19" s="411">
        <v>9239264.0476190485</v>
      </c>
      <c r="E19" s="412">
        <v>218828.95348837209</v>
      </c>
      <c r="F19" s="411">
        <v>9020435.0941306762</v>
      </c>
      <c r="G19" s="412">
        <v>1203224.4158022963</v>
      </c>
      <c r="H19" s="414">
        <v>1203224.4158022963</v>
      </c>
      <c r="I19" s="52">
        <f t="shared" ref="I19:I71" si="5">H19-G19</f>
        <v>0</v>
      </c>
      <c r="J19" s="52"/>
      <c r="K19" s="54">
        <f t="shared" si="0"/>
        <v>1203224.4158022963</v>
      </c>
      <c r="L19" s="54">
        <f t="shared" ref="L19" si="6">IF(K19&lt;&gt;0,+G19-K19,0)</f>
        <v>0</v>
      </c>
      <c r="M19" s="54">
        <f t="shared" si="2"/>
        <v>1203224.4158022963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2022</v>
      </c>
      <c r="D20" s="411">
        <v>7758491.0941306753</v>
      </c>
      <c r="E20" s="412">
        <v>193992.88095238095</v>
      </c>
      <c r="F20" s="411">
        <v>7564498.2131782947</v>
      </c>
      <c r="G20" s="412">
        <v>1019988.1643084703</v>
      </c>
      <c r="H20" s="414">
        <v>1019988.1643084703</v>
      </c>
      <c r="I20" s="52">
        <f t="shared" si="5"/>
        <v>0</v>
      </c>
      <c r="J20" s="52"/>
      <c r="K20" s="54">
        <f t="shared" si="0"/>
        <v>1019988.1643084703</v>
      </c>
      <c r="L20" s="54">
        <f t="shared" ref="L20" si="8">IF(K20&lt;&gt;0,+G20-K20,0)</f>
        <v>0</v>
      </c>
      <c r="M20" s="54">
        <f t="shared" si="2"/>
        <v>1019988.1643084703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7"/>
        <v>IU</v>
      </c>
      <c r="C21" s="50">
        <f>IF(D11="","-",+C20+1)</f>
        <v>2023</v>
      </c>
      <c r="D21" s="411">
        <v>7564074.0831782948</v>
      </c>
      <c r="E21" s="412">
        <v>208904.53512820514</v>
      </c>
      <c r="F21" s="411">
        <v>7355169.5480500897</v>
      </c>
      <c r="G21" s="412">
        <v>1099277.167336459</v>
      </c>
      <c r="H21" s="414">
        <v>1099277.167336459</v>
      </c>
      <c r="I21" s="52">
        <f t="shared" si="5"/>
        <v>0</v>
      </c>
      <c r="J21" s="52"/>
      <c r="K21" s="54">
        <f t="shared" si="0"/>
        <v>1099277.167336459</v>
      </c>
      <c r="L21" s="54">
        <f t="shared" ref="L21" si="9">IF(K21&lt;&gt;0,+G21-K21,0)</f>
        <v>0</v>
      </c>
      <c r="M21" s="54">
        <f t="shared" si="2"/>
        <v>1099277.167336459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7"/>
        <v/>
      </c>
      <c r="C22" s="50">
        <f>IF(D11="","-",+C21+1)</f>
        <v>2024</v>
      </c>
      <c r="D22" s="411">
        <v>7355169.5480500897</v>
      </c>
      <c r="E22" s="412">
        <v>214402.02289473685</v>
      </c>
      <c r="F22" s="411">
        <v>7140767.5251553524</v>
      </c>
      <c r="G22" s="412">
        <v>1038787.3238188896</v>
      </c>
      <c r="H22" s="414">
        <v>1038787.3238188896</v>
      </c>
      <c r="I22" s="52">
        <f t="shared" si="5"/>
        <v>0</v>
      </c>
      <c r="J22" s="52"/>
      <c r="K22" s="54">
        <f t="shared" si="0"/>
        <v>1038787.3238188896</v>
      </c>
      <c r="L22" s="54">
        <f t="shared" ref="L22" si="10">IF(K22&lt;&gt;0,+G22-K22,0)</f>
        <v>0</v>
      </c>
      <c r="M22" s="54">
        <f t="shared" si="2"/>
        <v>1038787.3238188896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>
      <c r="B23" s="7" t="str">
        <f t="shared" si="7"/>
        <v/>
      </c>
      <c r="C23" s="50">
        <f>IF(D11="","-",+C22+1)</f>
        <v>2025</v>
      </c>
      <c r="D23" s="411">
        <v>7140767.5251553524</v>
      </c>
      <c r="E23" s="412">
        <v>214402.02289473685</v>
      </c>
      <c r="F23" s="411">
        <v>6926365.502260616</v>
      </c>
      <c r="G23" s="412">
        <v>1013460.8561585967</v>
      </c>
      <c r="H23" s="414">
        <v>1013460.8561585967</v>
      </c>
      <c r="I23" s="52">
        <f t="shared" si="5"/>
        <v>0</v>
      </c>
      <c r="J23" s="52"/>
      <c r="K23" s="54">
        <f t="shared" ref="K23" si="13">+G23</f>
        <v>1013460.8561585967</v>
      </c>
      <c r="L23" s="54">
        <f t="shared" ref="L23" si="14">IF(K23&lt;&gt;0,+G23-K23,0)</f>
        <v>0</v>
      </c>
      <c r="M23" s="54">
        <f t="shared" ref="M23" si="15">+H23</f>
        <v>1013460.8561585967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6926365.502260616</v>
      </c>
      <c r="E24" s="354">
        <f t="shared" ref="E24:E71" si="18">IF(+I$14&lt;F23,I$14,D24)</f>
        <v>214402.02289473685</v>
      </c>
      <c r="F24" s="55">
        <f t="shared" ref="F24:F71" si="19">+D24-E24</f>
        <v>6711963.4793658797</v>
      </c>
      <c r="G24" s="355">
        <f t="shared" ref="G24:G71" si="20">(D24+F24)/2*I$12+E24</f>
        <v>989103.39399060735</v>
      </c>
      <c r="H24" s="336">
        <f t="shared" ref="H24:H71" si="21">+(D24+F24)/2*I$13+E24</f>
        <v>989103.39399060735</v>
      </c>
      <c r="I24" s="52">
        <f t="shared" si="5"/>
        <v>0</v>
      </c>
      <c r="J24" s="52"/>
      <c r="K24" s="115"/>
      <c r="L24" s="54">
        <f t="shared" ref="L24:L72" si="22">IF(K24&lt;&gt;0,+G24-K24,0)</f>
        <v>0</v>
      </c>
      <c r="M24" s="115"/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6711963.4793658797</v>
      </c>
      <c r="E25" s="354">
        <f t="shared" si="18"/>
        <v>214402.02289473685</v>
      </c>
      <c r="F25" s="55">
        <f t="shared" si="19"/>
        <v>6497561.4564711433</v>
      </c>
      <c r="G25" s="355">
        <f t="shared" si="20"/>
        <v>964745.93182261789</v>
      </c>
      <c r="H25" s="336">
        <f t="shared" si="21"/>
        <v>964745.93182261789</v>
      </c>
      <c r="I25" s="52">
        <f t="shared" si="5"/>
        <v>0</v>
      </c>
      <c r="J25" s="52"/>
      <c r="K25" s="115"/>
      <c r="L25" s="54">
        <f t="shared" si="22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6497561.4564711433</v>
      </c>
      <c r="E26" s="354">
        <f t="shared" si="18"/>
        <v>214402.02289473685</v>
      </c>
      <c r="F26" s="55">
        <f t="shared" si="19"/>
        <v>6283159.4335764069</v>
      </c>
      <c r="G26" s="355">
        <f t="shared" si="20"/>
        <v>940388.46965462842</v>
      </c>
      <c r="H26" s="336">
        <f t="shared" si="21"/>
        <v>940388.46965462842</v>
      </c>
      <c r="I26" s="52">
        <f t="shared" si="5"/>
        <v>0</v>
      </c>
      <c r="J26" s="52"/>
      <c r="K26" s="115"/>
      <c r="L26" s="54">
        <f t="shared" si="22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6283159.4335764069</v>
      </c>
      <c r="E27" s="354">
        <f t="shared" si="18"/>
        <v>214402.02289473685</v>
      </c>
      <c r="F27" s="55">
        <f t="shared" si="19"/>
        <v>6068757.4106816705</v>
      </c>
      <c r="G27" s="355">
        <f t="shared" si="20"/>
        <v>916031.00748663908</v>
      </c>
      <c r="H27" s="336">
        <f t="shared" si="21"/>
        <v>916031.00748663908</v>
      </c>
      <c r="I27" s="52">
        <f t="shared" si="5"/>
        <v>0</v>
      </c>
      <c r="J27" s="52"/>
      <c r="K27" s="115"/>
      <c r="L27" s="54">
        <f t="shared" si="22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6068757.4106816705</v>
      </c>
      <c r="E28" s="354">
        <f t="shared" si="18"/>
        <v>214402.02289473685</v>
      </c>
      <c r="F28" s="55">
        <f t="shared" si="19"/>
        <v>5854355.3877869342</v>
      </c>
      <c r="G28" s="355">
        <f t="shared" si="20"/>
        <v>891673.54531864962</v>
      </c>
      <c r="H28" s="336">
        <f t="shared" si="21"/>
        <v>891673.54531864962</v>
      </c>
      <c r="I28" s="52">
        <f t="shared" si="5"/>
        <v>0</v>
      </c>
      <c r="J28" s="52"/>
      <c r="K28" s="115"/>
      <c r="L28" s="54">
        <f t="shared" si="22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5854355.3877869342</v>
      </c>
      <c r="E29" s="354">
        <f t="shared" si="18"/>
        <v>214402.02289473685</v>
      </c>
      <c r="F29" s="55">
        <f t="shared" si="19"/>
        <v>5639953.3648921978</v>
      </c>
      <c r="G29" s="355">
        <f t="shared" si="20"/>
        <v>867316.08315066027</v>
      </c>
      <c r="H29" s="336">
        <f t="shared" si="21"/>
        <v>867316.08315066027</v>
      </c>
      <c r="I29" s="52">
        <f t="shared" si="5"/>
        <v>0</v>
      </c>
      <c r="J29" s="52"/>
      <c r="K29" s="115"/>
      <c r="L29" s="54">
        <f t="shared" si="22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5639953.3648921978</v>
      </c>
      <c r="E30" s="354">
        <f t="shared" si="18"/>
        <v>214402.02289473685</v>
      </c>
      <c r="F30" s="55">
        <f t="shared" si="19"/>
        <v>5425551.3419974614</v>
      </c>
      <c r="G30" s="355">
        <f t="shared" si="20"/>
        <v>842958.62098267081</v>
      </c>
      <c r="H30" s="336">
        <f t="shared" si="21"/>
        <v>842958.62098267081</v>
      </c>
      <c r="I30" s="52">
        <f t="shared" si="5"/>
        <v>0</v>
      </c>
      <c r="J30" s="52"/>
      <c r="K30" s="115"/>
      <c r="L30" s="54">
        <f t="shared" si="22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5425551.3419974614</v>
      </c>
      <c r="E31" s="354">
        <f t="shared" si="18"/>
        <v>214402.02289473685</v>
      </c>
      <c r="F31" s="55">
        <f t="shared" si="19"/>
        <v>5211149.319102725</v>
      </c>
      <c r="G31" s="355">
        <f t="shared" si="20"/>
        <v>818601.15881468146</v>
      </c>
      <c r="H31" s="336">
        <f t="shared" si="21"/>
        <v>818601.15881468146</v>
      </c>
      <c r="I31" s="52">
        <f t="shared" si="5"/>
        <v>0</v>
      </c>
      <c r="J31" s="52"/>
      <c r="K31" s="115"/>
      <c r="L31" s="54">
        <f t="shared" si="22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5211149.319102725</v>
      </c>
      <c r="E32" s="354">
        <f t="shared" si="18"/>
        <v>214402.02289473685</v>
      </c>
      <c r="F32" s="55">
        <f t="shared" si="19"/>
        <v>4996747.2962079886</v>
      </c>
      <c r="G32" s="355">
        <f t="shared" si="20"/>
        <v>794243.696646692</v>
      </c>
      <c r="H32" s="336">
        <f t="shared" si="21"/>
        <v>794243.696646692</v>
      </c>
      <c r="I32" s="52">
        <f t="shared" si="5"/>
        <v>0</v>
      </c>
      <c r="J32" s="52"/>
      <c r="K32" s="115"/>
      <c r="L32" s="54">
        <f t="shared" si="22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4996747.2962079886</v>
      </c>
      <c r="E33" s="354">
        <f t="shared" si="18"/>
        <v>214402.02289473685</v>
      </c>
      <c r="F33" s="55">
        <f t="shared" si="19"/>
        <v>4782345.2733132523</v>
      </c>
      <c r="G33" s="355">
        <f t="shared" si="20"/>
        <v>769886.23447870254</v>
      </c>
      <c r="H33" s="336">
        <f t="shared" si="21"/>
        <v>769886.23447870254</v>
      </c>
      <c r="I33" s="52">
        <f t="shared" si="5"/>
        <v>0</v>
      </c>
      <c r="J33" s="52"/>
      <c r="K33" s="115"/>
      <c r="L33" s="54">
        <f t="shared" si="22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4782345.2733132523</v>
      </c>
      <c r="E34" s="354">
        <f t="shared" si="18"/>
        <v>214402.02289473685</v>
      </c>
      <c r="F34" s="55">
        <f t="shared" si="19"/>
        <v>4567943.2504185159</v>
      </c>
      <c r="G34" s="355">
        <f t="shared" si="20"/>
        <v>745528.77231071319</v>
      </c>
      <c r="H34" s="336">
        <f t="shared" si="21"/>
        <v>745528.77231071319</v>
      </c>
      <c r="I34" s="52">
        <f t="shared" si="5"/>
        <v>0</v>
      </c>
      <c r="J34" s="52"/>
      <c r="K34" s="115"/>
      <c r="L34" s="54">
        <f t="shared" si="22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7"/>
        <v>IU</v>
      </c>
      <c r="C35" s="50">
        <f>IF(D11="","-",+C34+1)</f>
        <v>2037</v>
      </c>
      <c r="D35" s="55">
        <f>IF(F34+SUM(E$17:E34)=D$10,F34,D$10-SUM(E$17:E34))</f>
        <v>4567943.2504185103</v>
      </c>
      <c r="E35" s="354">
        <f t="shared" si="18"/>
        <v>214402.02289473685</v>
      </c>
      <c r="F35" s="55">
        <f t="shared" si="19"/>
        <v>4353541.2275237739</v>
      </c>
      <c r="G35" s="355">
        <f t="shared" si="20"/>
        <v>721171.31014272314</v>
      </c>
      <c r="H35" s="336">
        <f t="shared" si="21"/>
        <v>721171.31014272314</v>
      </c>
      <c r="I35" s="52">
        <f t="shared" si="5"/>
        <v>0</v>
      </c>
      <c r="J35" s="52"/>
      <c r="K35" s="115"/>
      <c r="L35" s="54">
        <f t="shared" si="22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4353541.2275237739</v>
      </c>
      <c r="E36" s="354">
        <f t="shared" si="18"/>
        <v>214402.02289473685</v>
      </c>
      <c r="F36" s="55">
        <f t="shared" si="19"/>
        <v>4139139.2046290371</v>
      </c>
      <c r="G36" s="355">
        <f t="shared" si="20"/>
        <v>696813.84797473368</v>
      </c>
      <c r="H36" s="336">
        <f t="shared" si="21"/>
        <v>696813.84797473368</v>
      </c>
      <c r="I36" s="52">
        <f t="shared" si="5"/>
        <v>0</v>
      </c>
      <c r="J36" s="52"/>
      <c r="K36" s="115"/>
      <c r="L36" s="54">
        <f t="shared" si="22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4139139.2046290371</v>
      </c>
      <c r="E37" s="354">
        <f t="shared" si="18"/>
        <v>214402.02289473685</v>
      </c>
      <c r="F37" s="55">
        <f t="shared" si="19"/>
        <v>3924737.1817343002</v>
      </c>
      <c r="G37" s="355">
        <f t="shared" si="20"/>
        <v>672456.38580674422</v>
      </c>
      <c r="H37" s="336">
        <f t="shared" si="21"/>
        <v>672456.38580674422</v>
      </c>
      <c r="I37" s="52">
        <f t="shared" si="5"/>
        <v>0</v>
      </c>
      <c r="J37" s="52"/>
      <c r="K37" s="115"/>
      <c r="L37" s="54">
        <f t="shared" si="22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3924737.1817343002</v>
      </c>
      <c r="E38" s="354">
        <f t="shared" si="18"/>
        <v>214402.02289473685</v>
      </c>
      <c r="F38" s="55">
        <f t="shared" si="19"/>
        <v>3710335.1588395634</v>
      </c>
      <c r="G38" s="355">
        <f t="shared" si="20"/>
        <v>648098.92363875476</v>
      </c>
      <c r="H38" s="336">
        <f t="shared" si="21"/>
        <v>648098.92363875476</v>
      </c>
      <c r="I38" s="52">
        <f t="shared" si="5"/>
        <v>0</v>
      </c>
      <c r="J38" s="52"/>
      <c r="K38" s="115"/>
      <c r="L38" s="54">
        <f t="shared" si="22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3710335.1588395634</v>
      </c>
      <c r="E39" s="354">
        <f t="shared" si="18"/>
        <v>214402.02289473685</v>
      </c>
      <c r="F39" s="55">
        <f t="shared" si="19"/>
        <v>3495933.1359448265</v>
      </c>
      <c r="G39" s="355">
        <f t="shared" si="20"/>
        <v>623741.46147076529</v>
      </c>
      <c r="H39" s="336">
        <f t="shared" si="21"/>
        <v>623741.46147076529</v>
      </c>
      <c r="I39" s="52">
        <f t="shared" si="5"/>
        <v>0</v>
      </c>
      <c r="J39" s="52"/>
      <c r="K39" s="115"/>
      <c r="L39" s="54">
        <f t="shared" si="22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3495933.1359448265</v>
      </c>
      <c r="E40" s="354">
        <f t="shared" si="18"/>
        <v>214402.02289473685</v>
      </c>
      <c r="F40" s="55">
        <f t="shared" si="19"/>
        <v>3281531.1130500897</v>
      </c>
      <c r="G40" s="355">
        <f t="shared" si="20"/>
        <v>599383.99930277583</v>
      </c>
      <c r="H40" s="336">
        <f t="shared" si="21"/>
        <v>599383.99930277583</v>
      </c>
      <c r="I40" s="52">
        <f t="shared" si="5"/>
        <v>0</v>
      </c>
      <c r="J40" s="52"/>
      <c r="K40" s="115"/>
      <c r="L40" s="54">
        <f t="shared" si="22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3281531.1130500897</v>
      </c>
      <c r="E41" s="354">
        <f t="shared" si="18"/>
        <v>214402.02289473685</v>
      </c>
      <c r="F41" s="55">
        <f t="shared" si="19"/>
        <v>3067129.0901553528</v>
      </c>
      <c r="G41" s="355">
        <f t="shared" si="20"/>
        <v>575026.53713478637</v>
      </c>
      <c r="H41" s="336">
        <f t="shared" si="21"/>
        <v>575026.53713478637</v>
      </c>
      <c r="I41" s="52">
        <f t="shared" si="5"/>
        <v>0</v>
      </c>
      <c r="J41" s="52"/>
      <c r="K41" s="115"/>
      <c r="L41" s="54">
        <f t="shared" si="22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3067129.0901553528</v>
      </c>
      <c r="E42" s="354">
        <f t="shared" si="18"/>
        <v>214402.02289473685</v>
      </c>
      <c r="F42" s="55">
        <f t="shared" si="19"/>
        <v>2852727.067260616</v>
      </c>
      <c r="G42" s="355">
        <f t="shared" si="20"/>
        <v>550669.07496679691</v>
      </c>
      <c r="H42" s="336">
        <f t="shared" si="21"/>
        <v>550669.07496679691</v>
      </c>
      <c r="I42" s="52">
        <f t="shared" si="5"/>
        <v>0</v>
      </c>
      <c r="J42" s="52"/>
      <c r="K42" s="115"/>
      <c r="L42" s="54">
        <f t="shared" si="22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2852727.067260616</v>
      </c>
      <c r="E43" s="354">
        <f t="shared" si="18"/>
        <v>214402.02289473685</v>
      </c>
      <c r="F43" s="55">
        <f t="shared" si="19"/>
        <v>2638325.0443658791</v>
      </c>
      <c r="G43" s="355">
        <f t="shared" si="20"/>
        <v>526311.61279880744</v>
      </c>
      <c r="H43" s="336">
        <f t="shared" si="21"/>
        <v>526311.61279880744</v>
      </c>
      <c r="I43" s="52">
        <f t="shared" si="5"/>
        <v>0</v>
      </c>
      <c r="J43" s="52"/>
      <c r="K43" s="115"/>
      <c r="L43" s="54">
        <f t="shared" si="22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2638325.0443658791</v>
      </c>
      <c r="E44" s="354">
        <f t="shared" si="18"/>
        <v>214402.02289473685</v>
      </c>
      <c r="F44" s="55">
        <f t="shared" si="19"/>
        <v>2423923.0214711423</v>
      </c>
      <c r="G44" s="355">
        <f t="shared" si="20"/>
        <v>501954.15063081798</v>
      </c>
      <c r="H44" s="336">
        <f t="shared" si="21"/>
        <v>501954.15063081798</v>
      </c>
      <c r="I44" s="52">
        <f t="shared" si="5"/>
        <v>0</v>
      </c>
      <c r="J44" s="52"/>
      <c r="K44" s="115"/>
      <c r="L44" s="54">
        <f t="shared" si="22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2423923.0214711423</v>
      </c>
      <c r="E45" s="354">
        <f t="shared" si="18"/>
        <v>214402.02289473685</v>
      </c>
      <c r="F45" s="55">
        <f t="shared" si="19"/>
        <v>2209520.9985764055</v>
      </c>
      <c r="G45" s="355">
        <f t="shared" si="20"/>
        <v>477596.68846282846</v>
      </c>
      <c r="H45" s="336">
        <f t="shared" si="21"/>
        <v>477596.68846282846</v>
      </c>
      <c r="I45" s="52">
        <f t="shared" si="5"/>
        <v>0</v>
      </c>
      <c r="J45" s="52"/>
      <c r="K45" s="115"/>
      <c r="L45" s="54">
        <f t="shared" si="22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2209520.9985764055</v>
      </c>
      <c r="E46" s="354">
        <f t="shared" si="18"/>
        <v>214402.02289473685</v>
      </c>
      <c r="F46" s="55">
        <f t="shared" si="19"/>
        <v>1995118.9756816686</v>
      </c>
      <c r="G46" s="355">
        <f t="shared" si="20"/>
        <v>453239.22629483906</v>
      </c>
      <c r="H46" s="336">
        <f t="shared" si="21"/>
        <v>453239.22629483906</v>
      </c>
      <c r="I46" s="52">
        <f t="shared" si="5"/>
        <v>0</v>
      </c>
      <c r="J46" s="52"/>
      <c r="K46" s="115"/>
      <c r="L46" s="54">
        <f t="shared" si="22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1995118.9756816686</v>
      </c>
      <c r="E47" s="354">
        <f t="shared" si="18"/>
        <v>214402.02289473685</v>
      </c>
      <c r="F47" s="55">
        <f t="shared" si="19"/>
        <v>1780716.9527869318</v>
      </c>
      <c r="G47" s="355">
        <f t="shared" si="20"/>
        <v>428881.76412684954</v>
      </c>
      <c r="H47" s="336">
        <f t="shared" si="21"/>
        <v>428881.76412684954</v>
      </c>
      <c r="I47" s="52">
        <f t="shared" si="5"/>
        <v>0</v>
      </c>
      <c r="J47" s="52"/>
      <c r="K47" s="115"/>
      <c r="L47" s="54">
        <f t="shared" si="22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1780716.9527869318</v>
      </c>
      <c r="E48" s="354">
        <f t="shared" si="18"/>
        <v>214402.02289473685</v>
      </c>
      <c r="F48" s="55">
        <f t="shared" si="19"/>
        <v>1566314.9298921949</v>
      </c>
      <c r="G48" s="355">
        <f t="shared" si="20"/>
        <v>404524.30195886007</v>
      </c>
      <c r="H48" s="336">
        <f t="shared" si="21"/>
        <v>404524.30195886007</v>
      </c>
      <c r="I48" s="52">
        <f t="shared" si="5"/>
        <v>0</v>
      </c>
      <c r="J48" s="52"/>
      <c r="K48" s="115"/>
      <c r="L48" s="54">
        <f t="shared" si="22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1566314.9298921949</v>
      </c>
      <c r="E49" s="354">
        <f t="shared" si="18"/>
        <v>214402.02289473685</v>
      </c>
      <c r="F49" s="55">
        <f t="shared" si="19"/>
        <v>1351912.9069974581</v>
      </c>
      <c r="G49" s="355">
        <f t="shared" si="20"/>
        <v>380166.83979087061</v>
      </c>
      <c r="H49" s="336">
        <f t="shared" si="21"/>
        <v>380166.83979087061</v>
      </c>
      <c r="I49" s="52">
        <f t="shared" si="5"/>
        <v>0</v>
      </c>
      <c r="J49" s="52"/>
      <c r="K49" s="115"/>
      <c r="L49" s="54">
        <f t="shared" si="22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1351912.9069974637</v>
      </c>
      <c r="E50" s="354">
        <f t="shared" si="18"/>
        <v>214402.02289473685</v>
      </c>
      <c r="F50" s="55">
        <f t="shared" si="19"/>
        <v>1137510.8841027268</v>
      </c>
      <c r="G50" s="355">
        <f t="shared" si="20"/>
        <v>355809.37762288179</v>
      </c>
      <c r="H50" s="336">
        <f t="shared" si="21"/>
        <v>355809.37762288179</v>
      </c>
      <c r="I50" s="52">
        <f t="shared" si="5"/>
        <v>0</v>
      </c>
      <c r="J50" s="52"/>
      <c r="K50" s="115"/>
      <c r="L50" s="54">
        <f t="shared" si="22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1137510.8841027268</v>
      </c>
      <c r="E51" s="354">
        <f t="shared" si="18"/>
        <v>214402.02289473685</v>
      </c>
      <c r="F51" s="55">
        <f t="shared" si="19"/>
        <v>923108.86120798998</v>
      </c>
      <c r="G51" s="355">
        <f t="shared" si="20"/>
        <v>331451.91545489233</v>
      </c>
      <c r="H51" s="336">
        <f t="shared" si="21"/>
        <v>331451.91545489233</v>
      </c>
      <c r="I51" s="52">
        <f t="shared" si="5"/>
        <v>0</v>
      </c>
      <c r="J51" s="52"/>
      <c r="K51" s="115"/>
      <c r="L51" s="54">
        <f t="shared" si="22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923108.86120798998</v>
      </c>
      <c r="E52" s="354">
        <f t="shared" si="18"/>
        <v>214402.02289473685</v>
      </c>
      <c r="F52" s="55">
        <f t="shared" si="19"/>
        <v>708706.83831325313</v>
      </c>
      <c r="G52" s="355">
        <f t="shared" si="20"/>
        <v>307094.45328690286</v>
      </c>
      <c r="H52" s="336">
        <f t="shared" si="21"/>
        <v>307094.45328690286</v>
      </c>
      <c r="I52" s="52">
        <f t="shared" si="5"/>
        <v>0</v>
      </c>
      <c r="J52" s="52"/>
      <c r="K52" s="115"/>
      <c r="L52" s="54">
        <f t="shared" si="22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708706.83831325313</v>
      </c>
      <c r="E53" s="354">
        <f t="shared" si="18"/>
        <v>214402.02289473685</v>
      </c>
      <c r="F53" s="55">
        <f t="shared" si="19"/>
        <v>494304.81541851629</v>
      </c>
      <c r="G53" s="355">
        <f t="shared" si="20"/>
        <v>282736.9911189134</v>
      </c>
      <c r="H53" s="336">
        <f t="shared" si="21"/>
        <v>282736.9911189134</v>
      </c>
      <c r="I53" s="52">
        <f t="shared" si="5"/>
        <v>0</v>
      </c>
      <c r="J53" s="52"/>
      <c r="K53" s="115"/>
      <c r="L53" s="54">
        <f t="shared" si="22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494304.81541851629</v>
      </c>
      <c r="E54" s="354">
        <f t="shared" si="18"/>
        <v>214402.02289473685</v>
      </c>
      <c r="F54" s="55">
        <f t="shared" si="19"/>
        <v>279902.79252377944</v>
      </c>
      <c r="G54" s="355">
        <f t="shared" si="20"/>
        <v>258379.52895092391</v>
      </c>
      <c r="H54" s="336">
        <f t="shared" si="21"/>
        <v>258379.52895092391</v>
      </c>
      <c r="I54" s="52">
        <f t="shared" si="5"/>
        <v>0</v>
      </c>
      <c r="J54" s="52"/>
      <c r="K54" s="115"/>
      <c r="L54" s="54">
        <f t="shared" si="22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279902.79252377944</v>
      </c>
      <c r="E55" s="354">
        <f t="shared" si="18"/>
        <v>214402.02289473685</v>
      </c>
      <c r="F55" s="55">
        <f t="shared" si="19"/>
        <v>65500.769629042596</v>
      </c>
      <c r="G55" s="355">
        <f t="shared" si="20"/>
        <v>234022.06678293442</v>
      </c>
      <c r="H55" s="336">
        <f t="shared" si="21"/>
        <v>234022.06678293442</v>
      </c>
      <c r="I55" s="52">
        <f t="shared" si="5"/>
        <v>0</v>
      </c>
      <c r="J55" s="52"/>
      <c r="K55" s="115"/>
      <c r="L55" s="54">
        <f t="shared" si="22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65500.769629042596</v>
      </c>
      <c r="E56" s="354">
        <f t="shared" si="18"/>
        <v>65500.769629042596</v>
      </c>
      <c r="F56" s="55">
        <f t="shared" si="19"/>
        <v>0</v>
      </c>
      <c r="G56" s="355">
        <f t="shared" si="20"/>
        <v>69221.426031144016</v>
      </c>
      <c r="H56" s="336">
        <f t="shared" si="21"/>
        <v>69221.426031144016</v>
      </c>
      <c r="I56" s="52">
        <f t="shared" si="5"/>
        <v>0</v>
      </c>
      <c r="J56" s="52"/>
      <c r="K56" s="115"/>
      <c r="L56" s="54">
        <f t="shared" si="22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0</v>
      </c>
      <c r="E57" s="354">
        <f t="shared" si="18"/>
        <v>0</v>
      </c>
      <c r="F57" s="55">
        <f t="shared" si="19"/>
        <v>0</v>
      </c>
      <c r="G57" s="355">
        <f t="shared" si="20"/>
        <v>0</v>
      </c>
      <c r="H57" s="336">
        <f t="shared" si="21"/>
        <v>0</v>
      </c>
      <c r="I57" s="52">
        <f t="shared" si="5"/>
        <v>0</v>
      </c>
      <c r="J57" s="52"/>
      <c r="K57" s="115"/>
      <c r="L57" s="54">
        <f t="shared" si="22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0</v>
      </c>
      <c r="E58" s="354">
        <f t="shared" si="18"/>
        <v>0</v>
      </c>
      <c r="F58" s="55">
        <f t="shared" si="19"/>
        <v>0</v>
      </c>
      <c r="G58" s="355">
        <f t="shared" si="20"/>
        <v>0</v>
      </c>
      <c r="H58" s="336">
        <f t="shared" si="21"/>
        <v>0</v>
      </c>
      <c r="I58" s="52">
        <f t="shared" si="5"/>
        <v>0</v>
      </c>
      <c r="J58" s="52"/>
      <c r="K58" s="115"/>
      <c r="L58" s="54">
        <f t="shared" si="22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0</v>
      </c>
      <c r="E59" s="354">
        <f t="shared" si="18"/>
        <v>0</v>
      </c>
      <c r="F59" s="55">
        <f t="shared" si="19"/>
        <v>0</v>
      </c>
      <c r="G59" s="355">
        <f t="shared" si="20"/>
        <v>0</v>
      </c>
      <c r="H59" s="336">
        <f t="shared" si="21"/>
        <v>0</v>
      </c>
      <c r="I59" s="52">
        <f t="shared" si="5"/>
        <v>0</v>
      </c>
      <c r="J59" s="52"/>
      <c r="K59" s="115"/>
      <c r="L59" s="54">
        <f t="shared" si="22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0</v>
      </c>
      <c r="E60" s="354">
        <f t="shared" si="18"/>
        <v>0</v>
      </c>
      <c r="F60" s="55">
        <f t="shared" si="19"/>
        <v>0</v>
      </c>
      <c r="G60" s="355">
        <f t="shared" si="20"/>
        <v>0</v>
      </c>
      <c r="H60" s="336">
        <f t="shared" si="21"/>
        <v>0</v>
      </c>
      <c r="I60" s="52">
        <f t="shared" si="5"/>
        <v>0</v>
      </c>
      <c r="J60" s="52"/>
      <c r="K60" s="115"/>
      <c r="L60" s="54">
        <f t="shared" si="22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0</v>
      </c>
      <c r="E61" s="354">
        <f t="shared" si="18"/>
        <v>0</v>
      </c>
      <c r="F61" s="55">
        <f t="shared" si="19"/>
        <v>0</v>
      </c>
      <c r="G61" s="355">
        <f t="shared" si="20"/>
        <v>0</v>
      </c>
      <c r="H61" s="336">
        <f t="shared" si="21"/>
        <v>0</v>
      </c>
      <c r="I61" s="52">
        <f t="shared" si="5"/>
        <v>0</v>
      </c>
      <c r="J61" s="52"/>
      <c r="K61" s="115"/>
      <c r="L61" s="54">
        <f t="shared" si="22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54">
        <f t="shared" si="18"/>
        <v>0</v>
      </c>
      <c r="F62" s="55">
        <f t="shared" si="19"/>
        <v>0</v>
      </c>
      <c r="G62" s="355">
        <f t="shared" si="20"/>
        <v>0</v>
      </c>
      <c r="H62" s="336">
        <f t="shared" si="21"/>
        <v>0</v>
      </c>
      <c r="I62" s="52">
        <f t="shared" si="5"/>
        <v>0</v>
      </c>
      <c r="J62" s="52"/>
      <c r="K62" s="115"/>
      <c r="L62" s="54">
        <f t="shared" si="22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54">
        <f t="shared" si="18"/>
        <v>0</v>
      </c>
      <c r="F63" s="55">
        <f t="shared" si="19"/>
        <v>0</v>
      </c>
      <c r="G63" s="355">
        <f t="shared" si="20"/>
        <v>0</v>
      </c>
      <c r="H63" s="336">
        <f t="shared" si="21"/>
        <v>0</v>
      </c>
      <c r="I63" s="52">
        <f t="shared" si="5"/>
        <v>0</v>
      </c>
      <c r="J63" s="52"/>
      <c r="K63" s="115"/>
      <c r="L63" s="54">
        <f t="shared" si="22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54">
        <f t="shared" si="18"/>
        <v>0</v>
      </c>
      <c r="F64" s="55">
        <f t="shared" si="19"/>
        <v>0</v>
      </c>
      <c r="G64" s="355">
        <f t="shared" si="20"/>
        <v>0</v>
      </c>
      <c r="H64" s="336">
        <f t="shared" si="21"/>
        <v>0</v>
      </c>
      <c r="I64" s="52">
        <f t="shared" si="5"/>
        <v>0</v>
      </c>
      <c r="J64" s="52"/>
      <c r="K64" s="115"/>
      <c r="L64" s="54">
        <f t="shared" si="22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54">
        <f t="shared" si="18"/>
        <v>0</v>
      </c>
      <c r="F65" s="55">
        <f t="shared" si="19"/>
        <v>0</v>
      </c>
      <c r="G65" s="355">
        <f t="shared" si="20"/>
        <v>0</v>
      </c>
      <c r="H65" s="336">
        <f t="shared" si="21"/>
        <v>0</v>
      </c>
      <c r="I65" s="52">
        <f t="shared" si="5"/>
        <v>0</v>
      </c>
      <c r="J65" s="52"/>
      <c r="K65" s="115"/>
      <c r="L65" s="54">
        <f t="shared" si="22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54">
        <f t="shared" si="18"/>
        <v>0</v>
      </c>
      <c r="F66" s="55">
        <f t="shared" si="19"/>
        <v>0</v>
      </c>
      <c r="G66" s="355">
        <f t="shared" si="20"/>
        <v>0</v>
      </c>
      <c r="H66" s="336">
        <f t="shared" si="21"/>
        <v>0</v>
      </c>
      <c r="I66" s="52">
        <f t="shared" si="5"/>
        <v>0</v>
      </c>
      <c r="J66" s="52"/>
      <c r="K66" s="115"/>
      <c r="L66" s="54">
        <f t="shared" si="22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54">
        <f t="shared" si="18"/>
        <v>0</v>
      </c>
      <c r="F67" s="55">
        <f t="shared" si="19"/>
        <v>0</v>
      </c>
      <c r="G67" s="355">
        <f t="shared" si="20"/>
        <v>0</v>
      </c>
      <c r="H67" s="336">
        <f t="shared" si="21"/>
        <v>0</v>
      </c>
      <c r="I67" s="52">
        <f t="shared" si="5"/>
        <v>0</v>
      </c>
      <c r="J67" s="52"/>
      <c r="K67" s="115"/>
      <c r="L67" s="54">
        <f t="shared" si="22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54">
        <f t="shared" si="18"/>
        <v>0</v>
      </c>
      <c r="F68" s="55">
        <f t="shared" si="19"/>
        <v>0</v>
      </c>
      <c r="G68" s="355">
        <f t="shared" si="20"/>
        <v>0</v>
      </c>
      <c r="H68" s="336">
        <f t="shared" si="21"/>
        <v>0</v>
      </c>
      <c r="I68" s="52">
        <f t="shared" si="5"/>
        <v>0</v>
      </c>
      <c r="J68" s="52"/>
      <c r="K68" s="115"/>
      <c r="L68" s="54">
        <f t="shared" si="22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54">
        <f t="shared" si="18"/>
        <v>0</v>
      </c>
      <c r="F69" s="55">
        <f t="shared" si="19"/>
        <v>0</v>
      </c>
      <c r="G69" s="355">
        <f t="shared" si="20"/>
        <v>0</v>
      </c>
      <c r="H69" s="336">
        <f t="shared" si="21"/>
        <v>0</v>
      </c>
      <c r="I69" s="52">
        <f t="shared" si="5"/>
        <v>0</v>
      </c>
      <c r="J69" s="52"/>
      <c r="K69" s="115"/>
      <c r="L69" s="54">
        <f t="shared" si="22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54">
        <f t="shared" si="18"/>
        <v>0</v>
      </c>
      <c r="F70" s="55">
        <f t="shared" si="19"/>
        <v>0</v>
      </c>
      <c r="G70" s="355">
        <f t="shared" si="20"/>
        <v>0</v>
      </c>
      <c r="H70" s="336">
        <f t="shared" si="21"/>
        <v>0</v>
      </c>
      <c r="I70" s="52">
        <f t="shared" si="5"/>
        <v>0</v>
      </c>
      <c r="J70" s="52"/>
      <c r="K70" s="115"/>
      <c r="L70" s="54">
        <f t="shared" si="22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54">
        <f t="shared" si="18"/>
        <v>0</v>
      </c>
      <c r="F71" s="55">
        <f t="shared" si="19"/>
        <v>0</v>
      </c>
      <c r="G71" s="355">
        <f t="shared" si="20"/>
        <v>0</v>
      </c>
      <c r="H71" s="336">
        <f t="shared" si="21"/>
        <v>0</v>
      </c>
      <c r="I71" s="52">
        <f t="shared" si="5"/>
        <v>0</v>
      </c>
      <c r="J71" s="52"/>
      <c r="K71" s="115"/>
      <c r="L71" s="54">
        <f t="shared" si="22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.5" thickBot="1">
      <c r="B72" s="7" t="str">
        <f t="shared" si="7"/>
        <v/>
      </c>
      <c r="C72" s="58">
        <f>IF(D11="","-",+C71+1)</f>
        <v>2074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22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>
      <c r="C73" s="12" t="s">
        <v>77</v>
      </c>
      <c r="D73" s="266"/>
      <c r="E73" s="266">
        <f>SUM(E17:E72)</f>
        <v>8147276.8699999973</v>
      </c>
      <c r="F73" s="266"/>
      <c r="G73" s="266">
        <f>SUM(G17:G72)</f>
        <v>26228510.341224715</v>
      </c>
      <c r="H73" s="266">
        <f>SUM(H17:H72)</f>
        <v>26228510.341224715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26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1013460.8561585967</v>
      </c>
      <c r="N87" s="364">
        <f>IF(J92&lt;D11,0,VLOOKUP(J92,C17:O72,11))</f>
        <v>1013460.8561585967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1058207.351763722</v>
      </c>
      <c r="N88" s="367">
        <f>IF(J92&lt;D11,0,VLOOKUP(J92,C99:P154,7))</f>
        <v>1058207.351763722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Tulsa Southeast - E. 61st St 138 kV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44746.495605125325</v>
      </c>
      <c r="N89" s="369">
        <f>+N88-N87</f>
        <v>44746.495605125325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TP2017011</v>
      </c>
      <c r="E91" s="74" t="str">
        <f>E9</f>
        <v xml:space="preserve">  SPP Project ID = 41202</v>
      </c>
      <c r="F91" s="74"/>
      <c r="G91" s="74"/>
      <c r="H91" s="74"/>
      <c r="I91" s="74"/>
      <c r="J91" s="74"/>
    </row>
    <row r="92" spans="1:16">
      <c r="C92" s="128" t="s">
        <v>226</v>
      </c>
      <c r="D92" s="372">
        <v>8147276.8700000001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D11</f>
        <v>2019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D12</f>
        <v>12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220197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2019</v>
      </c>
      <c r="D99" s="411">
        <v>0</v>
      </c>
      <c r="E99" s="432">
        <v>0</v>
      </c>
      <c r="F99" s="411">
        <v>6388896</v>
      </c>
      <c r="G99" s="432">
        <v>3194448</v>
      </c>
      <c r="H99" s="414">
        <v>329392.39438521734</v>
      </c>
      <c r="I99" s="431">
        <v>329392.39438521734</v>
      </c>
      <c r="J99" s="54">
        <f>+I99-H99</f>
        <v>0</v>
      </c>
      <c r="K99" s="54"/>
      <c r="L99" s="53">
        <f>+H99</f>
        <v>329392.39438521734</v>
      </c>
      <c r="M99" s="53">
        <f t="shared" ref="M99" si="23">IF(L99&lt;&gt;0,+H99-L99,0)</f>
        <v>0</v>
      </c>
      <c r="N99" s="53">
        <f>+I99</f>
        <v>329392.39438521734</v>
      </c>
      <c r="O99" s="53">
        <f t="shared" ref="O99:O130" si="24">IF(N99&lt;&gt;0,+I99-N99,0)</f>
        <v>0</v>
      </c>
      <c r="P99" s="53">
        <f t="shared" ref="P99:P130" si="25">+O99-M99</f>
        <v>0</v>
      </c>
    </row>
    <row r="100" spans="1:16">
      <c r="B100" s="7" t="str">
        <f>IF(D100=F99,"","IU")</f>
        <v>IU</v>
      </c>
      <c r="C100" s="50">
        <f>IF(D93="","-",+C99+1)</f>
        <v>2020</v>
      </c>
      <c r="D100" s="411">
        <v>8144614</v>
      </c>
      <c r="E100" s="412">
        <v>189410</v>
      </c>
      <c r="F100" s="413">
        <v>7955204</v>
      </c>
      <c r="G100" s="413">
        <v>8049909</v>
      </c>
      <c r="H100" s="430">
        <v>1117542.3763000495</v>
      </c>
      <c r="I100" s="431">
        <v>1117542.3763000495</v>
      </c>
      <c r="J100" s="54">
        <f t="shared" ref="J100:J130" si="26">+I100-H100</f>
        <v>0</v>
      </c>
      <c r="K100" s="54"/>
      <c r="L100" s="350">
        <f>H100</f>
        <v>1117542.3763000495</v>
      </c>
      <c r="M100" s="63">
        <f>IF(L100&lt;&gt;0,+H100-L100,0)</f>
        <v>0</v>
      </c>
      <c r="N100" s="350">
        <f>I100</f>
        <v>1117542.3763000495</v>
      </c>
      <c r="O100" s="54">
        <f t="shared" si="24"/>
        <v>0</v>
      </c>
      <c r="P100" s="54">
        <f t="shared" si="25"/>
        <v>0</v>
      </c>
    </row>
    <row r="101" spans="1:16">
      <c r="B101" s="7" t="str">
        <f t="shared" ref="B101:B154" si="27">IF(D101=F100,"","IU")</f>
        <v>IU</v>
      </c>
      <c r="C101" s="50">
        <f>IF(D93="","-",+C100+1)</f>
        <v>2021</v>
      </c>
      <c r="D101" s="411">
        <v>7958291</v>
      </c>
      <c r="E101" s="412">
        <v>198724</v>
      </c>
      <c r="F101" s="413">
        <v>7759567</v>
      </c>
      <c r="G101" s="413">
        <v>7858929</v>
      </c>
      <c r="H101" s="430">
        <v>1093013.4811459687</v>
      </c>
      <c r="I101" s="431">
        <v>1093013.4811459687</v>
      </c>
      <c r="J101" s="54">
        <f t="shared" si="26"/>
        <v>0</v>
      </c>
      <c r="K101" s="54"/>
      <c r="L101" s="350">
        <f>H101</f>
        <v>1093013.4811459687</v>
      </c>
      <c r="M101" s="63">
        <f>IF(L101&lt;&gt;0,+H101-L101,0)</f>
        <v>0</v>
      </c>
      <c r="N101" s="350">
        <f>I101</f>
        <v>1093013.4811459687</v>
      </c>
      <c r="O101" s="54">
        <f t="shared" si="24"/>
        <v>0</v>
      </c>
      <c r="P101" s="54">
        <f t="shared" si="25"/>
        <v>0</v>
      </c>
    </row>
    <row r="102" spans="1:16">
      <c r="B102" s="7" t="str">
        <f t="shared" si="27"/>
        <v>IU</v>
      </c>
      <c r="C102" s="50">
        <f>IF(D93="","-",+C101+1)</f>
        <v>2022</v>
      </c>
      <c r="D102" s="411">
        <v>7759143</v>
      </c>
      <c r="E102" s="412">
        <v>208905</v>
      </c>
      <c r="F102" s="413">
        <v>7550238</v>
      </c>
      <c r="G102" s="413">
        <v>7654690.5</v>
      </c>
      <c r="H102" s="430">
        <v>1052319.106232034</v>
      </c>
      <c r="I102" s="431">
        <v>1052319.106232034</v>
      </c>
      <c r="J102" s="54">
        <f t="shared" si="26"/>
        <v>0</v>
      </c>
      <c r="K102" s="54"/>
      <c r="L102" s="350">
        <f>H102</f>
        <v>1052319.106232034</v>
      </c>
      <c r="M102" s="63">
        <f>IF(L102&lt;&gt;0,+H102-L102,0)</f>
        <v>0</v>
      </c>
      <c r="N102" s="350">
        <f>I102</f>
        <v>1052319.106232034</v>
      </c>
      <c r="O102" s="54">
        <f t="shared" ref="O102" si="28">IF(N102&lt;&gt;0,+I102-N102,0)</f>
        <v>0</v>
      </c>
      <c r="P102" s="54">
        <f t="shared" ref="P102" si="29">+O102-M102</f>
        <v>0</v>
      </c>
    </row>
    <row r="103" spans="1:16">
      <c r="B103" s="7" t="str">
        <f t="shared" si="27"/>
        <v>IU</v>
      </c>
      <c r="C103" s="50">
        <f>IF(D93="","-",+C102+1)</f>
        <v>2023</v>
      </c>
      <c r="D103" s="411">
        <v>7550237.8700000001</v>
      </c>
      <c r="E103" s="412">
        <v>214402</v>
      </c>
      <c r="F103" s="413">
        <v>7335835.8700000001</v>
      </c>
      <c r="G103" s="413">
        <v>7443036.8700000001</v>
      </c>
      <c r="H103" s="430">
        <v>1064598.1674432177</v>
      </c>
      <c r="I103" s="431">
        <v>1064598.1674432177</v>
      </c>
      <c r="J103" s="54">
        <f t="shared" si="26"/>
        <v>0</v>
      </c>
      <c r="K103" s="54"/>
      <c r="L103" s="350">
        <f>H103</f>
        <v>1064598.1674432177</v>
      </c>
      <c r="M103" s="63">
        <f>IF(L103&lt;&gt;0,+H103-L103,0)</f>
        <v>0</v>
      </c>
      <c r="N103" s="350">
        <f>I103</f>
        <v>1064598.1674432177</v>
      </c>
      <c r="O103" s="54">
        <f t="shared" ref="O103" si="30">IF(N103&lt;&gt;0,+I103-N103,0)</f>
        <v>0</v>
      </c>
      <c r="P103" s="54">
        <f t="shared" ref="P103" si="31">+O103-M103</f>
        <v>0</v>
      </c>
    </row>
    <row r="104" spans="1:16">
      <c r="B104" s="7" t="str">
        <f t="shared" si="27"/>
        <v/>
      </c>
      <c r="C104" s="50">
        <f>IF(D93="","-",+C103+1)</f>
        <v>2024</v>
      </c>
      <c r="D104" s="411">
        <v>7335835.8700000001</v>
      </c>
      <c r="E104" s="412">
        <v>220197</v>
      </c>
      <c r="F104" s="413">
        <v>7115638.8700000001</v>
      </c>
      <c r="G104" s="413">
        <v>7225737.3700000001</v>
      </c>
      <c r="H104" s="430">
        <v>1190748.7205840037</v>
      </c>
      <c r="I104" s="431">
        <v>1190748.7205840037</v>
      </c>
      <c r="J104" s="54">
        <f t="shared" si="26"/>
        <v>0</v>
      </c>
      <c r="K104" s="54"/>
      <c r="L104" s="350">
        <f>H104</f>
        <v>1190748.7205840037</v>
      </c>
      <c r="M104" s="63">
        <f>IF(L104&lt;&gt;0,+H104-L104,0)</f>
        <v>0</v>
      </c>
      <c r="N104" s="350">
        <f>I104</f>
        <v>1190748.7205840037</v>
      </c>
      <c r="O104" s="54">
        <f t="shared" ref="O104" si="32">IF(N104&lt;&gt;0,+I104-N104,0)</f>
        <v>0</v>
      </c>
      <c r="P104" s="54">
        <f t="shared" ref="P104" si="33">+O104-M104</f>
        <v>0</v>
      </c>
    </row>
    <row r="105" spans="1:16">
      <c r="B105" s="7" t="str">
        <f t="shared" si="27"/>
        <v/>
      </c>
      <c r="C105" s="50">
        <f>IF(D93="","-",+C104+1)</f>
        <v>2025</v>
      </c>
      <c r="D105" s="12">
        <f>IF(F104+SUM(E$99:E104)=D$92,F104,D$92-SUM(E$99:E104))</f>
        <v>7115638.8700000001</v>
      </c>
      <c r="E105" s="354">
        <f t="shared" ref="E105:E154" si="34">IF(+J$96&lt;F104,J$96,D105)</f>
        <v>220197</v>
      </c>
      <c r="F105" s="55">
        <f t="shared" ref="F105:F154" si="35">+D105-E105</f>
        <v>6895441.8700000001</v>
      </c>
      <c r="G105" s="55">
        <f t="shared" ref="G105:G154" si="36">+(F105+D105)/2</f>
        <v>7005540.3700000001</v>
      </c>
      <c r="H105" s="355">
        <f t="shared" ref="H105:H153" si="37">(D105+F105)/2*J$94+E105</f>
        <v>1058207.351763722</v>
      </c>
      <c r="I105" s="381">
        <f t="shared" ref="I105:I153" si="38">+J$95*G105+E105</f>
        <v>1058207.351763722</v>
      </c>
      <c r="J105" s="54">
        <f t="shared" si="26"/>
        <v>0</v>
      </c>
      <c r="K105" s="54"/>
      <c r="L105" s="115"/>
      <c r="M105" s="54">
        <f t="shared" ref="M105:M130" si="39">IF(L105&lt;&gt;0,+H105-L105,0)</f>
        <v>0</v>
      </c>
      <c r="N105" s="115"/>
      <c r="O105" s="54">
        <f t="shared" si="24"/>
        <v>0</v>
      </c>
      <c r="P105" s="54">
        <f t="shared" si="25"/>
        <v>0</v>
      </c>
    </row>
    <row r="106" spans="1:16">
      <c r="B106" s="7" t="str">
        <f t="shared" si="27"/>
        <v/>
      </c>
      <c r="C106" s="50">
        <f>IF(D93="","-",+C105+1)</f>
        <v>2026</v>
      </c>
      <c r="D106" s="12">
        <f>IF(F105+SUM(E$99:E105)=D$92,F105,D$92-SUM(E$99:E105))</f>
        <v>6895441.8700000001</v>
      </c>
      <c r="E106" s="354">
        <f t="shared" si="34"/>
        <v>220197</v>
      </c>
      <c r="F106" s="55">
        <f t="shared" si="35"/>
        <v>6675244.8700000001</v>
      </c>
      <c r="G106" s="55">
        <f t="shared" si="36"/>
        <v>6785343.3700000001</v>
      </c>
      <c r="H106" s="355">
        <f t="shared" si="37"/>
        <v>1031867.1473424439</v>
      </c>
      <c r="I106" s="381">
        <f t="shared" si="38"/>
        <v>1031867.1473424439</v>
      </c>
      <c r="J106" s="54">
        <f t="shared" si="26"/>
        <v>0</v>
      </c>
      <c r="K106" s="54"/>
      <c r="L106" s="115"/>
      <c r="M106" s="54">
        <f t="shared" si="39"/>
        <v>0</v>
      </c>
      <c r="N106" s="115"/>
      <c r="O106" s="54">
        <f t="shared" si="24"/>
        <v>0</v>
      </c>
      <c r="P106" s="54">
        <f t="shared" si="25"/>
        <v>0</v>
      </c>
    </row>
    <row r="107" spans="1:16">
      <c r="B107" s="7" t="str">
        <f t="shared" si="27"/>
        <v/>
      </c>
      <c r="C107" s="50">
        <f>IF(D93="","-",+C106+1)</f>
        <v>2027</v>
      </c>
      <c r="D107" s="12">
        <f>IF(F106+SUM(E$99:E106)=D$92,F106,D$92-SUM(E$99:E106))</f>
        <v>6675244.8700000001</v>
      </c>
      <c r="E107" s="354">
        <f t="shared" si="34"/>
        <v>220197</v>
      </c>
      <c r="F107" s="55">
        <f t="shared" si="35"/>
        <v>6455047.8700000001</v>
      </c>
      <c r="G107" s="55">
        <f t="shared" si="36"/>
        <v>6565146.3700000001</v>
      </c>
      <c r="H107" s="355">
        <f t="shared" si="37"/>
        <v>1005526.9429211657</v>
      </c>
      <c r="I107" s="381">
        <f t="shared" si="38"/>
        <v>1005526.9429211657</v>
      </c>
      <c r="J107" s="54">
        <f t="shared" si="26"/>
        <v>0</v>
      </c>
      <c r="K107" s="54"/>
      <c r="L107" s="115"/>
      <c r="M107" s="54">
        <f t="shared" si="39"/>
        <v>0</v>
      </c>
      <c r="N107" s="115"/>
      <c r="O107" s="54">
        <f t="shared" si="24"/>
        <v>0</v>
      </c>
      <c r="P107" s="54">
        <f t="shared" si="25"/>
        <v>0</v>
      </c>
    </row>
    <row r="108" spans="1:16">
      <c r="B108" s="7" t="str">
        <f t="shared" si="27"/>
        <v/>
      </c>
      <c r="C108" s="50">
        <f>IF(D93="","-",+C107+1)</f>
        <v>2028</v>
      </c>
      <c r="D108" s="12">
        <f>IF(F107+SUM(E$99:E107)=D$92,F107,D$92-SUM(E$99:E107))</f>
        <v>6455047.8700000001</v>
      </c>
      <c r="E108" s="354">
        <f t="shared" si="34"/>
        <v>220197</v>
      </c>
      <c r="F108" s="55">
        <f t="shared" si="35"/>
        <v>6234850.8700000001</v>
      </c>
      <c r="G108" s="55">
        <f t="shared" si="36"/>
        <v>6344949.3700000001</v>
      </c>
      <c r="H108" s="355">
        <f t="shared" si="37"/>
        <v>979186.73849988764</v>
      </c>
      <c r="I108" s="381">
        <f t="shared" si="38"/>
        <v>979186.73849988764</v>
      </c>
      <c r="J108" s="54">
        <f t="shared" si="26"/>
        <v>0</v>
      </c>
      <c r="K108" s="54"/>
      <c r="L108" s="115"/>
      <c r="M108" s="54">
        <f t="shared" si="39"/>
        <v>0</v>
      </c>
      <c r="N108" s="115"/>
      <c r="O108" s="54">
        <f t="shared" si="24"/>
        <v>0</v>
      </c>
      <c r="P108" s="54">
        <f t="shared" si="25"/>
        <v>0</v>
      </c>
    </row>
    <row r="109" spans="1:16">
      <c r="B109" s="7" t="str">
        <f t="shared" si="27"/>
        <v/>
      </c>
      <c r="C109" s="50">
        <f>IF(D93="","-",+C108+1)</f>
        <v>2029</v>
      </c>
      <c r="D109" s="12">
        <f>IF(F108+SUM(E$99:E108)=D$92,F108,D$92-SUM(E$99:E108))</f>
        <v>6234850.8700000001</v>
      </c>
      <c r="E109" s="354">
        <f t="shared" si="34"/>
        <v>220197</v>
      </c>
      <c r="F109" s="55">
        <f t="shared" si="35"/>
        <v>6014653.8700000001</v>
      </c>
      <c r="G109" s="55">
        <f t="shared" si="36"/>
        <v>6124752.3700000001</v>
      </c>
      <c r="H109" s="355">
        <f t="shared" si="37"/>
        <v>952846.53407860955</v>
      </c>
      <c r="I109" s="381">
        <f t="shared" si="38"/>
        <v>952846.53407860955</v>
      </c>
      <c r="J109" s="54">
        <f t="shared" si="26"/>
        <v>0</v>
      </c>
      <c r="K109" s="54"/>
      <c r="L109" s="115"/>
      <c r="M109" s="54">
        <f t="shared" si="39"/>
        <v>0</v>
      </c>
      <c r="N109" s="115"/>
      <c r="O109" s="54">
        <f t="shared" si="24"/>
        <v>0</v>
      </c>
      <c r="P109" s="54">
        <f t="shared" si="25"/>
        <v>0</v>
      </c>
    </row>
    <row r="110" spans="1:16">
      <c r="B110" s="7" t="str">
        <f t="shared" si="27"/>
        <v/>
      </c>
      <c r="C110" s="50">
        <f>IF(D93="","-",+C109+1)</f>
        <v>2030</v>
      </c>
      <c r="D110" s="12">
        <f>IF(F109+SUM(E$99:E109)=D$92,F109,D$92-SUM(E$99:E109))</f>
        <v>6014653.8700000001</v>
      </c>
      <c r="E110" s="354">
        <f t="shared" si="34"/>
        <v>220197</v>
      </c>
      <c r="F110" s="55">
        <f t="shared" si="35"/>
        <v>5794456.8700000001</v>
      </c>
      <c r="G110" s="55">
        <f t="shared" si="36"/>
        <v>5904555.3700000001</v>
      </c>
      <c r="H110" s="355">
        <f t="shared" si="37"/>
        <v>926506.32965733146</v>
      </c>
      <c r="I110" s="381">
        <f t="shared" si="38"/>
        <v>926506.32965733146</v>
      </c>
      <c r="J110" s="54">
        <f t="shared" si="26"/>
        <v>0</v>
      </c>
      <c r="K110" s="54"/>
      <c r="L110" s="115"/>
      <c r="M110" s="54">
        <f t="shared" si="39"/>
        <v>0</v>
      </c>
      <c r="N110" s="115"/>
      <c r="O110" s="54">
        <f t="shared" si="24"/>
        <v>0</v>
      </c>
      <c r="P110" s="54">
        <f t="shared" si="25"/>
        <v>0</v>
      </c>
    </row>
    <row r="111" spans="1:16">
      <c r="B111" s="7" t="str">
        <f t="shared" si="27"/>
        <v/>
      </c>
      <c r="C111" s="50">
        <f>IF(D93="","-",+C110+1)</f>
        <v>2031</v>
      </c>
      <c r="D111" s="12">
        <f>IF(F110+SUM(E$99:E110)=D$92,F110,D$92-SUM(E$99:E110))</f>
        <v>5794456.8700000001</v>
      </c>
      <c r="E111" s="354">
        <f t="shared" si="34"/>
        <v>220197</v>
      </c>
      <c r="F111" s="55">
        <f t="shared" si="35"/>
        <v>5574259.8700000001</v>
      </c>
      <c r="G111" s="55">
        <f t="shared" si="36"/>
        <v>5684358.3700000001</v>
      </c>
      <c r="H111" s="355">
        <f t="shared" si="37"/>
        <v>900166.12523605337</v>
      </c>
      <c r="I111" s="381">
        <f t="shared" si="38"/>
        <v>900166.12523605337</v>
      </c>
      <c r="J111" s="54">
        <f t="shared" si="26"/>
        <v>0</v>
      </c>
      <c r="K111" s="54"/>
      <c r="L111" s="115"/>
      <c r="M111" s="54">
        <f t="shared" si="39"/>
        <v>0</v>
      </c>
      <c r="N111" s="115"/>
      <c r="O111" s="54">
        <f t="shared" si="24"/>
        <v>0</v>
      </c>
      <c r="P111" s="54">
        <f t="shared" si="25"/>
        <v>0</v>
      </c>
    </row>
    <row r="112" spans="1:16">
      <c r="B112" s="7" t="str">
        <f t="shared" si="27"/>
        <v/>
      </c>
      <c r="C112" s="50">
        <f>IF(D93="","-",+C111+1)</f>
        <v>2032</v>
      </c>
      <c r="D112" s="12">
        <f>IF(F111+SUM(E$99:E111)=D$92,F111,D$92-SUM(E$99:E111))</f>
        <v>5574259.8700000001</v>
      </c>
      <c r="E112" s="354">
        <f t="shared" si="34"/>
        <v>220197</v>
      </c>
      <c r="F112" s="55">
        <f t="shared" si="35"/>
        <v>5354062.87</v>
      </c>
      <c r="G112" s="55">
        <f t="shared" si="36"/>
        <v>5464161.3700000001</v>
      </c>
      <c r="H112" s="355">
        <f t="shared" si="37"/>
        <v>873825.92081477528</v>
      </c>
      <c r="I112" s="381">
        <f t="shared" si="38"/>
        <v>873825.92081477528</v>
      </c>
      <c r="J112" s="54">
        <f t="shared" si="26"/>
        <v>0</v>
      </c>
      <c r="K112" s="54"/>
      <c r="L112" s="115"/>
      <c r="M112" s="54">
        <f t="shared" si="39"/>
        <v>0</v>
      </c>
      <c r="N112" s="115"/>
      <c r="O112" s="54">
        <f t="shared" si="24"/>
        <v>0</v>
      </c>
      <c r="P112" s="54">
        <f t="shared" si="25"/>
        <v>0</v>
      </c>
    </row>
    <row r="113" spans="2:16">
      <c r="B113" s="7" t="str">
        <f t="shared" si="27"/>
        <v/>
      </c>
      <c r="C113" s="50">
        <f>IF(D93="","-",+C112+1)</f>
        <v>2033</v>
      </c>
      <c r="D113" s="12">
        <f>IF(F112+SUM(E$99:E112)=D$92,F112,D$92-SUM(E$99:E112))</f>
        <v>5354062.87</v>
      </c>
      <c r="E113" s="354">
        <f t="shared" si="34"/>
        <v>220197</v>
      </c>
      <c r="F113" s="55">
        <f t="shared" si="35"/>
        <v>5133865.87</v>
      </c>
      <c r="G113" s="55">
        <f t="shared" si="36"/>
        <v>5243964.37</v>
      </c>
      <c r="H113" s="355">
        <f t="shared" si="37"/>
        <v>847485.71639349707</v>
      </c>
      <c r="I113" s="381">
        <f t="shared" si="38"/>
        <v>847485.71639349707</v>
      </c>
      <c r="J113" s="54">
        <f t="shared" si="26"/>
        <v>0</v>
      </c>
      <c r="K113" s="54"/>
      <c r="L113" s="115"/>
      <c r="M113" s="54">
        <f t="shared" si="39"/>
        <v>0</v>
      </c>
      <c r="N113" s="115"/>
      <c r="O113" s="54">
        <f t="shared" si="24"/>
        <v>0</v>
      </c>
      <c r="P113" s="54">
        <f t="shared" si="25"/>
        <v>0</v>
      </c>
    </row>
    <row r="114" spans="2:16">
      <c r="B114" s="7" t="str">
        <f t="shared" si="27"/>
        <v/>
      </c>
      <c r="C114" s="50">
        <f>IF(D93="","-",+C113+1)</f>
        <v>2034</v>
      </c>
      <c r="D114" s="12">
        <f>IF(F113+SUM(E$99:E113)=D$92,F113,D$92-SUM(E$99:E113))</f>
        <v>5133865.87</v>
      </c>
      <c r="E114" s="354">
        <f t="shared" si="34"/>
        <v>220197</v>
      </c>
      <c r="F114" s="55">
        <f t="shared" si="35"/>
        <v>4913668.87</v>
      </c>
      <c r="G114" s="55">
        <f t="shared" si="36"/>
        <v>5023767.37</v>
      </c>
      <c r="H114" s="355">
        <f t="shared" si="37"/>
        <v>821145.51197221898</v>
      </c>
      <c r="I114" s="381">
        <f t="shared" si="38"/>
        <v>821145.51197221898</v>
      </c>
      <c r="J114" s="54">
        <f t="shared" si="26"/>
        <v>0</v>
      </c>
      <c r="K114" s="54"/>
      <c r="L114" s="115"/>
      <c r="M114" s="54">
        <f t="shared" si="39"/>
        <v>0</v>
      </c>
      <c r="N114" s="115"/>
      <c r="O114" s="54">
        <f t="shared" si="24"/>
        <v>0</v>
      </c>
      <c r="P114" s="54">
        <f t="shared" si="25"/>
        <v>0</v>
      </c>
    </row>
    <row r="115" spans="2:16">
      <c r="B115" s="7" t="str">
        <f t="shared" si="27"/>
        <v/>
      </c>
      <c r="C115" s="50">
        <f>IF(D93="","-",+C114+1)</f>
        <v>2035</v>
      </c>
      <c r="D115" s="12">
        <f>IF(F114+SUM(E$99:E114)=D$92,F114,D$92-SUM(E$99:E114))</f>
        <v>4913668.87</v>
      </c>
      <c r="E115" s="354">
        <f t="shared" si="34"/>
        <v>220197</v>
      </c>
      <c r="F115" s="55">
        <f t="shared" si="35"/>
        <v>4693471.87</v>
      </c>
      <c r="G115" s="55">
        <f t="shared" si="36"/>
        <v>4803570.37</v>
      </c>
      <c r="H115" s="355">
        <f t="shared" si="37"/>
        <v>794805.3075509409</v>
      </c>
      <c r="I115" s="381">
        <f t="shared" si="38"/>
        <v>794805.3075509409</v>
      </c>
      <c r="J115" s="54">
        <f t="shared" si="26"/>
        <v>0</v>
      </c>
      <c r="K115" s="54"/>
      <c r="L115" s="115"/>
      <c r="M115" s="54">
        <f t="shared" si="39"/>
        <v>0</v>
      </c>
      <c r="N115" s="115"/>
      <c r="O115" s="54">
        <f t="shared" si="24"/>
        <v>0</v>
      </c>
      <c r="P115" s="54">
        <f t="shared" si="25"/>
        <v>0</v>
      </c>
    </row>
    <row r="116" spans="2:16">
      <c r="B116" s="7" t="str">
        <f t="shared" si="27"/>
        <v/>
      </c>
      <c r="C116" s="50">
        <f>IF(D93="","-",+C115+1)</f>
        <v>2036</v>
      </c>
      <c r="D116" s="12">
        <f>IF(F115+SUM(E$99:E115)=D$92,F115,D$92-SUM(E$99:E115))</f>
        <v>4693471.87</v>
      </c>
      <c r="E116" s="354">
        <f t="shared" si="34"/>
        <v>220197</v>
      </c>
      <c r="F116" s="55">
        <f t="shared" si="35"/>
        <v>4473274.87</v>
      </c>
      <c r="G116" s="55">
        <f t="shared" si="36"/>
        <v>4583373.37</v>
      </c>
      <c r="H116" s="355">
        <f t="shared" si="37"/>
        <v>768465.10312966281</v>
      </c>
      <c r="I116" s="381">
        <f t="shared" si="38"/>
        <v>768465.10312966281</v>
      </c>
      <c r="J116" s="54">
        <f t="shared" si="26"/>
        <v>0</v>
      </c>
      <c r="K116" s="54"/>
      <c r="L116" s="115"/>
      <c r="M116" s="54">
        <f t="shared" si="39"/>
        <v>0</v>
      </c>
      <c r="N116" s="115"/>
      <c r="O116" s="54">
        <f t="shared" si="24"/>
        <v>0</v>
      </c>
      <c r="P116" s="54">
        <f t="shared" si="25"/>
        <v>0</v>
      </c>
    </row>
    <row r="117" spans="2:16">
      <c r="B117" s="7" t="str">
        <f t="shared" si="27"/>
        <v/>
      </c>
      <c r="C117" s="50">
        <f>IF(D93="","-",+C116+1)</f>
        <v>2037</v>
      </c>
      <c r="D117" s="12">
        <f>IF(F116+SUM(E$99:E116)=D$92,F116,D$92-SUM(E$99:E116))</f>
        <v>4473274.87</v>
      </c>
      <c r="E117" s="354">
        <f t="shared" si="34"/>
        <v>220197</v>
      </c>
      <c r="F117" s="55">
        <f t="shared" si="35"/>
        <v>4253077.87</v>
      </c>
      <c r="G117" s="55">
        <f t="shared" si="36"/>
        <v>4363176.37</v>
      </c>
      <c r="H117" s="355">
        <f t="shared" si="37"/>
        <v>742124.89870838472</v>
      </c>
      <c r="I117" s="381">
        <f t="shared" si="38"/>
        <v>742124.89870838472</v>
      </c>
      <c r="J117" s="54">
        <f t="shared" si="26"/>
        <v>0</v>
      </c>
      <c r="K117" s="54"/>
      <c r="L117" s="115"/>
      <c r="M117" s="54">
        <f t="shared" si="39"/>
        <v>0</v>
      </c>
      <c r="N117" s="115"/>
      <c r="O117" s="54">
        <f t="shared" si="24"/>
        <v>0</v>
      </c>
      <c r="P117" s="54">
        <f t="shared" si="25"/>
        <v>0</v>
      </c>
    </row>
    <row r="118" spans="2:16">
      <c r="B118" s="7" t="str">
        <f t="shared" si="27"/>
        <v/>
      </c>
      <c r="C118" s="50">
        <f>IF(D93="","-",+C117+1)</f>
        <v>2038</v>
      </c>
      <c r="D118" s="12">
        <f>IF(F117+SUM(E$99:E117)=D$92,F117,D$92-SUM(E$99:E117))</f>
        <v>4253077.87</v>
      </c>
      <c r="E118" s="354">
        <f t="shared" si="34"/>
        <v>220197</v>
      </c>
      <c r="F118" s="55">
        <f t="shared" si="35"/>
        <v>4032880.87</v>
      </c>
      <c r="G118" s="55">
        <f t="shared" si="36"/>
        <v>4142979.37</v>
      </c>
      <c r="H118" s="355">
        <f t="shared" si="37"/>
        <v>715784.69428710663</v>
      </c>
      <c r="I118" s="381">
        <f t="shared" si="38"/>
        <v>715784.69428710663</v>
      </c>
      <c r="J118" s="54">
        <f t="shared" si="26"/>
        <v>0</v>
      </c>
      <c r="K118" s="54"/>
      <c r="L118" s="115"/>
      <c r="M118" s="54">
        <f t="shared" si="39"/>
        <v>0</v>
      </c>
      <c r="N118" s="115"/>
      <c r="O118" s="54">
        <f t="shared" si="24"/>
        <v>0</v>
      </c>
      <c r="P118" s="54">
        <f t="shared" si="25"/>
        <v>0</v>
      </c>
    </row>
    <row r="119" spans="2:16">
      <c r="B119" s="7" t="str">
        <f t="shared" si="27"/>
        <v/>
      </c>
      <c r="C119" s="50">
        <f>IF(D93="","-",+C118+1)</f>
        <v>2039</v>
      </c>
      <c r="D119" s="12">
        <f>IF(F118+SUM(E$99:E118)=D$92,F118,D$92-SUM(E$99:E118))</f>
        <v>4032880.87</v>
      </c>
      <c r="E119" s="354">
        <f t="shared" si="34"/>
        <v>220197</v>
      </c>
      <c r="F119" s="55">
        <f t="shared" si="35"/>
        <v>3812683.87</v>
      </c>
      <c r="G119" s="55">
        <f t="shared" si="36"/>
        <v>3922782.37</v>
      </c>
      <c r="H119" s="355">
        <f t="shared" si="37"/>
        <v>689444.48986582854</v>
      </c>
      <c r="I119" s="381">
        <f t="shared" si="38"/>
        <v>689444.48986582854</v>
      </c>
      <c r="J119" s="54">
        <f t="shared" si="26"/>
        <v>0</v>
      </c>
      <c r="K119" s="54"/>
      <c r="L119" s="115"/>
      <c r="M119" s="54">
        <f t="shared" si="39"/>
        <v>0</v>
      </c>
      <c r="N119" s="115"/>
      <c r="O119" s="54">
        <f t="shared" si="24"/>
        <v>0</v>
      </c>
      <c r="P119" s="54">
        <f t="shared" si="25"/>
        <v>0</v>
      </c>
    </row>
    <row r="120" spans="2:16">
      <c r="B120" s="7" t="str">
        <f t="shared" si="27"/>
        <v/>
      </c>
      <c r="C120" s="50">
        <f>IF(D93="","-",+C119+1)</f>
        <v>2040</v>
      </c>
      <c r="D120" s="12">
        <f>IF(F119+SUM(E$99:E119)=D$92,F119,D$92-SUM(E$99:E119))</f>
        <v>3812683.87</v>
      </c>
      <c r="E120" s="354">
        <f t="shared" si="34"/>
        <v>220197</v>
      </c>
      <c r="F120" s="55">
        <f t="shared" si="35"/>
        <v>3592486.87</v>
      </c>
      <c r="G120" s="55">
        <f t="shared" si="36"/>
        <v>3702585.37</v>
      </c>
      <c r="H120" s="355">
        <f t="shared" si="37"/>
        <v>663104.28544455033</v>
      </c>
      <c r="I120" s="381">
        <f t="shared" si="38"/>
        <v>663104.28544455033</v>
      </c>
      <c r="J120" s="54">
        <f t="shared" si="26"/>
        <v>0</v>
      </c>
      <c r="K120" s="54"/>
      <c r="L120" s="115"/>
      <c r="M120" s="54">
        <f t="shared" si="39"/>
        <v>0</v>
      </c>
      <c r="N120" s="115"/>
      <c r="O120" s="54">
        <f t="shared" si="24"/>
        <v>0</v>
      </c>
      <c r="P120" s="54">
        <f t="shared" si="25"/>
        <v>0</v>
      </c>
    </row>
    <row r="121" spans="2:16">
      <c r="B121" s="7" t="str">
        <f t="shared" si="27"/>
        <v/>
      </c>
      <c r="C121" s="50">
        <f>IF(D93="","-",+C120+1)</f>
        <v>2041</v>
      </c>
      <c r="D121" s="12">
        <f>IF(F120+SUM(E$99:E120)=D$92,F120,D$92-SUM(E$99:E120))</f>
        <v>3592486.87</v>
      </c>
      <c r="E121" s="354">
        <f t="shared" si="34"/>
        <v>220197</v>
      </c>
      <c r="F121" s="55">
        <f t="shared" si="35"/>
        <v>3372289.87</v>
      </c>
      <c r="G121" s="55">
        <f t="shared" si="36"/>
        <v>3482388.37</v>
      </c>
      <c r="H121" s="355">
        <f t="shared" si="37"/>
        <v>636764.08102327224</v>
      </c>
      <c r="I121" s="381">
        <f t="shared" si="38"/>
        <v>636764.08102327224</v>
      </c>
      <c r="J121" s="54">
        <f t="shared" si="26"/>
        <v>0</v>
      </c>
      <c r="K121" s="54"/>
      <c r="L121" s="115"/>
      <c r="M121" s="54">
        <f t="shared" si="39"/>
        <v>0</v>
      </c>
      <c r="N121" s="115"/>
      <c r="O121" s="54">
        <f t="shared" si="24"/>
        <v>0</v>
      </c>
      <c r="P121" s="54">
        <f t="shared" si="25"/>
        <v>0</v>
      </c>
    </row>
    <row r="122" spans="2:16">
      <c r="B122" s="7" t="str">
        <f t="shared" si="27"/>
        <v/>
      </c>
      <c r="C122" s="50">
        <f>IF(D93="","-",+C121+1)</f>
        <v>2042</v>
      </c>
      <c r="D122" s="12">
        <f>IF(F121+SUM(E$99:E121)=D$92,F121,D$92-SUM(E$99:E121))</f>
        <v>3372289.87</v>
      </c>
      <c r="E122" s="354">
        <f t="shared" si="34"/>
        <v>220197</v>
      </c>
      <c r="F122" s="55">
        <f t="shared" si="35"/>
        <v>3152092.87</v>
      </c>
      <c r="G122" s="55">
        <f t="shared" si="36"/>
        <v>3262191.37</v>
      </c>
      <c r="H122" s="355">
        <f t="shared" si="37"/>
        <v>610423.87660199404</v>
      </c>
      <c r="I122" s="381">
        <f t="shared" si="38"/>
        <v>610423.87660199404</v>
      </c>
      <c r="J122" s="54">
        <f t="shared" si="26"/>
        <v>0</v>
      </c>
      <c r="K122" s="54"/>
      <c r="L122" s="115"/>
      <c r="M122" s="54">
        <f t="shared" si="39"/>
        <v>0</v>
      </c>
      <c r="N122" s="115"/>
      <c r="O122" s="54">
        <f t="shared" si="24"/>
        <v>0</v>
      </c>
      <c r="P122" s="54">
        <f t="shared" si="25"/>
        <v>0</v>
      </c>
    </row>
    <row r="123" spans="2:16">
      <c r="B123" s="7" t="str">
        <f t="shared" si="27"/>
        <v/>
      </c>
      <c r="C123" s="50">
        <f>IF(D93="","-",+C122+1)</f>
        <v>2043</v>
      </c>
      <c r="D123" s="12">
        <f>IF(F122+SUM(E$99:E122)=D$92,F122,D$92-SUM(E$99:E122))</f>
        <v>3152092.87</v>
      </c>
      <c r="E123" s="354">
        <f t="shared" si="34"/>
        <v>220197</v>
      </c>
      <c r="F123" s="55">
        <f t="shared" si="35"/>
        <v>2931895.87</v>
      </c>
      <c r="G123" s="55">
        <f t="shared" si="36"/>
        <v>3041994.37</v>
      </c>
      <c r="H123" s="355">
        <f t="shared" si="37"/>
        <v>584083.67218071595</v>
      </c>
      <c r="I123" s="381">
        <f t="shared" si="38"/>
        <v>584083.67218071595</v>
      </c>
      <c r="J123" s="54">
        <f t="shared" si="26"/>
        <v>0</v>
      </c>
      <c r="K123" s="54"/>
      <c r="L123" s="115"/>
      <c r="M123" s="54">
        <f t="shared" si="39"/>
        <v>0</v>
      </c>
      <c r="N123" s="115"/>
      <c r="O123" s="54">
        <f t="shared" si="24"/>
        <v>0</v>
      </c>
      <c r="P123" s="54">
        <f t="shared" si="25"/>
        <v>0</v>
      </c>
    </row>
    <row r="124" spans="2:16">
      <c r="B124" s="7" t="str">
        <f t="shared" si="27"/>
        <v/>
      </c>
      <c r="C124" s="50">
        <f>IF(D93="","-",+C123+1)</f>
        <v>2044</v>
      </c>
      <c r="D124" s="12">
        <f>IF(F123+SUM(E$99:E123)=D$92,F123,D$92-SUM(E$99:E123))</f>
        <v>2931895.87</v>
      </c>
      <c r="E124" s="354">
        <f t="shared" si="34"/>
        <v>220197</v>
      </c>
      <c r="F124" s="55">
        <f t="shared" si="35"/>
        <v>2711698.87</v>
      </c>
      <c r="G124" s="55">
        <f t="shared" si="36"/>
        <v>2821797.37</v>
      </c>
      <c r="H124" s="355">
        <f t="shared" si="37"/>
        <v>557743.46775943786</v>
      </c>
      <c r="I124" s="381">
        <f t="shared" si="38"/>
        <v>557743.46775943786</v>
      </c>
      <c r="J124" s="54">
        <f t="shared" si="26"/>
        <v>0</v>
      </c>
      <c r="K124" s="54"/>
      <c r="L124" s="115"/>
      <c r="M124" s="54">
        <f t="shared" si="39"/>
        <v>0</v>
      </c>
      <c r="N124" s="115"/>
      <c r="O124" s="54">
        <f t="shared" si="24"/>
        <v>0</v>
      </c>
      <c r="P124" s="54">
        <f t="shared" si="25"/>
        <v>0</v>
      </c>
    </row>
    <row r="125" spans="2:16">
      <c r="B125" s="7" t="str">
        <f t="shared" si="27"/>
        <v/>
      </c>
      <c r="C125" s="50">
        <f>IF(D93="","-",+C124+1)</f>
        <v>2045</v>
      </c>
      <c r="D125" s="12">
        <f>IF(F124+SUM(E$99:E124)=D$92,F124,D$92-SUM(E$99:E124))</f>
        <v>2711698.87</v>
      </c>
      <c r="E125" s="354">
        <f t="shared" si="34"/>
        <v>220197</v>
      </c>
      <c r="F125" s="55">
        <f t="shared" si="35"/>
        <v>2491501.87</v>
      </c>
      <c r="G125" s="55">
        <f t="shared" si="36"/>
        <v>2601600.37</v>
      </c>
      <c r="H125" s="355">
        <f t="shared" si="37"/>
        <v>531403.26333815977</v>
      </c>
      <c r="I125" s="381">
        <f t="shared" si="38"/>
        <v>531403.26333815977</v>
      </c>
      <c r="J125" s="54">
        <f t="shared" si="26"/>
        <v>0</v>
      </c>
      <c r="K125" s="54"/>
      <c r="L125" s="115"/>
      <c r="M125" s="54">
        <f t="shared" si="39"/>
        <v>0</v>
      </c>
      <c r="N125" s="115"/>
      <c r="O125" s="54">
        <f t="shared" si="24"/>
        <v>0</v>
      </c>
      <c r="P125" s="54">
        <f t="shared" si="25"/>
        <v>0</v>
      </c>
    </row>
    <row r="126" spans="2:16">
      <c r="B126" s="7" t="str">
        <f t="shared" si="27"/>
        <v/>
      </c>
      <c r="C126" s="50">
        <f>IF(D93="","-",+C125+1)</f>
        <v>2046</v>
      </c>
      <c r="D126" s="12">
        <f>IF(F125+SUM(E$99:E125)=D$92,F125,D$92-SUM(E$99:E125))</f>
        <v>2491501.87</v>
      </c>
      <c r="E126" s="354">
        <f t="shared" si="34"/>
        <v>220197</v>
      </c>
      <c r="F126" s="55">
        <f t="shared" si="35"/>
        <v>2271304.87</v>
      </c>
      <c r="G126" s="55">
        <f t="shared" si="36"/>
        <v>2381403.37</v>
      </c>
      <c r="H126" s="355">
        <f t="shared" si="37"/>
        <v>505063.05891688168</v>
      </c>
      <c r="I126" s="381">
        <f t="shared" si="38"/>
        <v>505063.05891688168</v>
      </c>
      <c r="J126" s="54">
        <f t="shared" si="26"/>
        <v>0</v>
      </c>
      <c r="K126" s="54"/>
      <c r="L126" s="115"/>
      <c r="M126" s="54">
        <f t="shared" si="39"/>
        <v>0</v>
      </c>
      <c r="N126" s="115"/>
      <c r="O126" s="54">
        <f t="shared" si="24"/>
        <v>0</v>
      </c>
      <c r="P126" s="54">
        <f t="shared" si="25"/>
        <v>0</v>
      </c>
    </row>
    <row r="127" spans="2:16">
      <c r="B127" s="7" t="str">
        <f t="shared" si="27"/>
        <v/>
      </c>
      <c r="C127" s="50">
        <f>IF(D93="","-",+C126+1)</f>
        <v>2047</v>
      </c>
      <c r="D127" s="12">
        <f>IF(F126+SUM(E$99:E126)=D$92,F126,D$92-SUM(E$99:E126))</f>
        <v>2271304.87</v>
      </c>
      <c r="E127" s="354">
        <f t="shared" si="34"/>
        <v>220197</v>
      </c>
      <c r="F127" s="55">
        <f t="shared" si="35"/>
        <v>2051107.87</v>
      </c>
      <c r="G127" s="55">
        <f t="shared" si="36"/>
        <v>2161206.37</v>
      </c>
      <c r="H127" s="355">
        <f t="shared" si="37"/>
        <v>478722.85449560359</v>
      </c>
      <c r="I127" s="381">
        <f t="shared" si="38"/>
        <v>478722.85449560359</v>
      </c>
      <c r="J127" s="54">
        <f t="shared" si="26"/>
        <v>0</v>
      </c>
      <c r="K127" s="54"/>
      <c r="L127" s="115"/>
      <c r="M127" s="54">
        <f t="shared" si="39"/>
        <v>0</v>
      </c>
      <c r="N127" s="115"/>
      <c r="O127" s="54">
        <f t="shared" si="24"/>
        <v>0</v>
      </c>
      <c r="P127" s="54">
        <f t="shared" si="25"/>
        <v>0</v>
      </c>
    </row>
    <row r="128" spans="2:16">
      <c r="B128" s="7" t="str">
        <f t="shared" si="27"/>
        <v/>
      </c>
      <c r="C128" s="50">
        <f>IF(D93="","-",+C127+1)</f>
        <v>2048</v>
      </c>
      <c r="D128" s="12">
        <f>IF(F127+SUM(E$99:E127)=D$92,F127,D$92-SUM(E$99:E127))</f>
        <v>2051107.87</v>
      </c>
      <c r="E128" s="354">
        <f t="shared" si="34"/>
        <v>220197</v>
      </c>
      <c r="F128" s="55">
        <f t="shared" si="35"/>
        <v>1830910.87</v>
      </c>
      <c r="G128" s="55">
        <f t="shared" si="36"/>
        <v>1941009.37</v>
      </c>
      <c r="H128" s="355">
        <f t="shared" si="37"/>
        <v>452382.65007432544</v>
      </c>
      <c r="I128" s="381">
        <f t="shared" si="38"/>
        <v>452382.65007432544</v>
      </c>
      <c r="J128" s="54">
        <f t="shared" si="26"/>
        <v>0</v>
      </c>
      <c r="K128" s="54"/>
      <c r="L128" s="115"/>
      <c r="M128" s="54">
        <f t="shared" si="39"/>
        <v>0</v>
      </c>
      <c r="N128" s="115"/>
      <c r="O128" s="54">
        <f t="shared" si="24"/>
        <v>0</v>
      </c>
      <c r="P128" s="54">
        <f t="shared" si="25"/>
        <v>0</v>
      </c>
    </row>
    <row r="129" spans="2:16">
      <c r="B129" s="7" t="str">
        <f t="shared" si="27"/>
        <v/>
      </c>
      <c r="C129" s="50">
        <f>IF(D93="","-",+C128+1)</f>
        <v>2049</v>
      </c>
      <c r="D129" s="12">
        <f>IF(F128+SUM(E$99:E128)=D$92,F128,D$92-SUM(E$99:E128))</f>
        <v>1830910.87</v>
      </c>
      <c r="E129" s="354">
        <f t="shared" si="34"/>
        <v>220197</v>
      </c>
      <c r="F129" s="55">
        <f t="shared" si="35"/>
        <v>1610713.87</v>
      </c>
      <c r="G129" s="55">
        <f t="shared" si="36"/>
        <v>1720812.37</v>
      </c>
      <c r="H129" s="355">
        <f t="shared" si="37"/>
        <v>426042.44565304735</v>
      </c>
      <c r="I129" s="381">
        <f t="shared" si="38"/>
        <v>426042.44565304735</v>
      </c>
      <c r="J129" s="54">
        <f t="shared" si="26"/>
        <v>0</v>
      </c>
      <c r="K129" s="54"/>
      <c r="L129" s="115"/>
      <c r="M129" s="54">
        <f t="shared" si="39"/>
        <v>0</v>
      </c>
      <c r="N129" s="115"/>
      <c r="O129" s="54">
        <f t="shared" si="24"/>
        <v>0</v>
      </c>
      <c r="P129" s="54">
        <f t="shared" si="25"/>
        <v>0</v>
      </c>
    </row>
    <row r="130" spans="2:16">
      <c r="B130" s="7" t="str">
        <f t="shared" si="27"/>
        <v/>
      </c>
      <c r="C130" s="50">
        <f>IF(D93="","-",+C129+1)</f>
        <v>2050</v>
      </c>
      <c r="D130" s="12">
        <f>IF(F129+SUM(E$99:E129)=D$92,F129,D$92-SUM(E$99:E129))</f>
        <v>1610713.87</v>
      </c>
      <c r="E130" s="354">
        <f t="shared" si="34"/>
        <v>220197</v>
      </c>
      <c r="F130" s="55">
        <f t="shared" si="35"/>
        <v>1390516.87</v>
      </c>
      <c r="G130" s="55">
        <f t="shared" si="36"/>
        <v>1500615.37</v>
      </c>
      <c r="H130" s="355">
        <f t="shared" si="37"/>
        <v>399702.24123176921</v>
      </c>
      <c r="I130" s="381">
        <f t="shared" si="38"/>
        <v>399702.24123176921</v>
      </c>
      <c r="J130" s="54">
        <f t="shared" si="26"/>
        <v>0</v>
      </c>
      <c r="K130" s="54"/>
      <c r="L130" s="115"/>
      <c r="M130" s="54">
        <f t="shared" si="39"/>
        <v>0</v>
      </c>
      <c r="N130" s="115"/>
      <c r="O130" s="54">
        <f t="shared" si="24"/>
        <v>0</v>
      </c>
      <c r="P130" s="54">
        <f t="shared" si="25"/>
        <v>0</v>
      </c>
    </row>
    <row r="131" spans="2:16">
      <c r="B131" s="7" t="str">
        <f t="shared" si="27"/>
        <v/>
      </c>
      <c r="C131" s="50">
        <f>IF(D93="","-",+C130+1)</f>
        <v>2051</v>
      </c>
      <c r="D131" s="12">
        <f>IF(F130+SUM(E$99:E130)=D$92,F130,D$92-SUM(E$99:E130))</f>
        <v>1390516.87</v>
      </c>
      <c r="E131" s="354">
        <f t="shared" si="34"/>
        <v>220197</v>
      </c>
      <c r="F131" s="55">
        <f t="shared" si="35"/>
        <v>1170319.8700000001</v>
      </c>
      <c r="G131" s="55">
        <f t="shared" si="36"/>
        <v>1280418.3700000001</v>
      </c>
      <c r="H131" s="355">
        <f t="shared" si="37"/>
        <v>373362.03681049112</v>
      </c>
      <c r="I131" s="381">
        <f t="shared" si="38"/>
        <v>373362.03681049112</v>
      </c>
      <c r="J131" s="54">
        <f t="shared" ref="J131:J154" si="40">+I541-H541</f>
        <v>0</v>
      </c>
      <c r="K131" s="54"/>
      <c r="L131" s="115"/>
      <c r="M131" s="54">
        <f t="shared" ref="M131:M154" si="41">IF(L541&lt;&gt;0,+H541-L541,0)</f>
        <v>0</v>
      </c>
      <c r="N131" s="115"/>
      <c r="O131" s="54">
        <f t="shared" ref="O131:O154" si="42">IF(N541&lt;&gt;0,+I541-N541,0)</f>
        <v>0</v>
      </c>
      <c r="P131" s="54">
        <f t="shared" ref="P131:P154" si="43">+O541-M541</f>
        <v>0</v>
      </c>
    </row>
    <row r="132" spans="2:16">
      <c r="B132" s="7" t="str">
        <f t="shared" si="27"/>
        <v/>
      </c>
      <c r="C132" s="50">
        <f>IF(D93="","-",+C131+1)</f>
        <v>2052</v>
      </c>
      <c r="D132" s="12">
        <f>IF(F131+SUM(E$99:E131)=D$92,F131,D$92-SUM(E$99:E131))</f>
        <v>1170319.8700000001</v>
      </c>
      <c r="E132" s="354">
        <f t="shared" si="34"/>
        <v>220197</v>
      </c>
      <c r="F132" s="55">
        <f t="shared" si="35"/>
        <v>950122.87000000011</v>
      </c>
      <c r="G132" s="55">
        <f t="shared" si="36"/>
        <v>1060221.3700000001</v>
      </c>
      <c r="H132" s="355">
        <f t="shared" si="37"/>
        <v>347021.83238921303</v>
      </c>
      <c r="I132" s="381">
        <f t="shared" si="38"/>
        <v>347021.83238921303</v>
      </c>
      <c r="J132" s="54">
        <f t="shared" si="40"/>
        <v>0</v>
      </c>
      <c r="K132" s="54"/>
      <c r="L132" s="115"/>
      <c r="M132" s="54">
        <f t="shared" si="41"/>
        <v>0</v>
      </c>
      <c r="N132" s="115"/>
      <c r="O132" s="54">
        <f t="shared" si="42"/>
        <v>0</v>
      </c>
      <c r="P132" s="54">
        <f t="shared" si="43"/>
        <v>0</v>
      </c>
    </row>
    <row r="133" spans="2:16">
      <c r="B133" s="7" t="str">
        <f t="shared" si="27"/>
        <v/>
      </c>
      <c r="C133" s="50">
        <f>IF(D93="","-",+C132+1)</f>
        <v>2053</v>
      </c>
      <c r="D133" s="12">
        <f>IF(F132+SUM(E$99:E132)=D$92,F132,D$92-SUM(E$99:E132))</f>
        <v>950122.87000000011</v>
      </c>
      <c r="E133" s="354">
        <f t="shared" si="34"/>
        <v>220197</v>
      </c>
      <c r="F133" s="55">
        <f t="shared" si="35"/>
        <v>729925.87000000011</v>
      </c>
      <c r="G133" s="55">
        <f t="shared" si="36"/>
        <v>840024.37000000011</v>
      </c>
      <c r="H133" s="355">
        <f t="shared" si="37"/>
        <v>320681.62796793494</v>
      </c>
      <c r="I133" s="381">
        <f t="shared" si="38"/>
        <v>320681.62796793494</v>
      </c>
      <c r="J133" s="54">
        <f t="shared" si="40"/>
        <v>0</v>
      </c>
      <c r="K133" s="54"/>
      <c r="L133" s="115"/>
      <c r="M133" s="54">
        <f t="shared" si="41"/>
        <v>0</v>
      </c>
      <c r="N133" s="115"/>
      <c r="O133" s="54">
        <f t="shared" si="42"/>
        <v>0</v>
      </c>
      <c r="P133" s="54">
        <f t="shared" si="43"/>
        <v>0</v>
      </c>
    </row>
    <row r="134" spans="2:16">
      <c r="B134" s="7" t="str">
        <f t="shared" si="27"/>
        <v/>
      </c>
      <c r="C134" s="50">
        <f>IF(D93="","-",+C133+1)</f>
        <v>2054</v>
      </c>
      <c r="D134" s="12">
        <f>IF(F133+SUM(E$99:E133)=D$92,F133,D$92-SUM(E$99:E133))</f>
        <v>729925.87000000011</v>
      </c>
      <c r="E134" s="354">
        <f t="shared" si="34"/>
        <v>220197</v>
      </c>
      <c r="F134" s="55">
        <f t="shared" si="35"/>
        <v>509728.87000000011</v>
      </c>
      <c r="G134" s="55">
        <f t="shared" si="36"/>
        <v>619827.37000000011</v>
      </c>
      <c r="H134" s="355">
        <f t="shared" si="37"/>
        <v>294341.42354665679</v>
      </c>
      <c r="I134" s="381">
        <f t="shared" si="38"/>
        <v>294341.42354665679</v>
      </c>
      <c r="J134" s="54">
        <f t="shared" si="40"/>
        <v>0</v>
      </c>
      <c r="K134" s="54"/>
      <c r="L134" s="115"/>
      <c r="M134" s="54">
        <f t="shared" si="41"/>
        <v>0</v>
      </c>
      <c r="N134" s="115"/>
      <c r="O134" s="54">
        <f t="shared" si="42"/>
        <v>0</v>
      </c>
      <c r="P134" s="54">
        <f t="shared" si="43"/>
        <v>0</v>
      </c>
    </row>
    <row r="135" spans="2:16">
      <c r="B135" s="7" t="str">
        <f t="shared" si="27"/>
        <v/>
      </c>
      <c r="C135" s="50">
        <f>IF(D93="","-",+C134+1)</f>
        <v>2055</v>
      </c>
      <c r="D135" s="12">
        <f>IF(F134+SUM(E$99:E134)=D$92,F134,D$92-SUM(E$99:E134))</f>
        <v>509728.87000000011</v>
      </c>
      <c r="E135" s="354">
        <f t="shared" si="34"/>
        <v>220197</v>
      </c>
      <c r="F135" s="55">
        <f t="shared" si="35"/>
        <v>289531.87000000011</v>
      </c>
      <c r="G135" s="55">
        <f t="shared" si="36"/>
        <v>399630.37000000011</v>
      </c>
      <c r="H135" s="355">
        <f t="shared" si="37"/>
        <v>268001.2191253787</v>
      </c>
      <c r="I135" s="381">
        <f t="shared" si="38"/>
        <v>268001.2191253787</v>
      </c>
      <c r="J135" s="54">
        <f t="shared" si="40"/>
        <v>0</v>
      </c>
      <c r="K135" s="54"/>
      <c r="L135" s="115"/>
      <c r="M135" s="54">
        <f t="shared" si="41"/>
        <v>0</v>
      </c>
      <c r="N135" s="115"/>
      <c r="O135" s="54">
        <f t="shared" si="42"/>
        <v>0</v>
      </c>
      <c r="P135" s="54">
        <f t="shared" si="43"/>
        <v>0</v>
      </c>
    </row>
    <row r="136" spans="2:16">
      <c r="B136" s="7" t="str">
        <f t="shared" si="27"/>
        <v/>
      </c>
      <c r="C136" s="50">
        <f>IF(D93="","-",+C135+1)</f>
        <v>2056</v>
      </c>
      <c r="D136" s="12">
        <f>IF(F135+SUM(E$99:E135)=D$92,F135,D$92-SUM(E$99:E135))</f>
        <v>289531.87000000011</v>
      </c>
      <c r="E136" s="354">
        <f t="shared" si="34"/>
        <v>220197</v>
      </c>
      <c r="F136" s="55">
        <f t="shared" si="35"/>
        <v>69334.870000000112</v>
      </c>
      <c r="G136" s="55">
        <f t="shared" si="36"/>
        <v>179433.37000000011</v>
      </c>
      <c r="H136" s="355">
        <f t="shared" si="37"/>
        <v>241661.01470410058</v>
      </c>
      <c r="I136" s="381">
        <f t="shared" si="38"/>
        <v>241661.01470410058</v>
      </c>
      <c r="J136" s="54">
        <f t="shared" si="40"/>
        <v>0</v>
      </c>
      <c r="K136" s="54"/>
      <c r="L136" s="115"/>
      <c r="M136" s="54">
        <f t="shared" si="41"/>
        <v>0</v>
      </c>
      <c r="N136" s="115"/>
      <c r="O136" s="54">
        <f t="shared" si="42"/>
        <v>0</v>
      </c>
      <c r="P136" s="54">
        <f t="shared" si="43"/>
        <v>0</v>
      </c>
    </row>
    <row r="137" spans="2:16">
      <c r="B137" s="7" t="str">
        <f t="shared" si="27"/>
        <v/>
      </c>
      <c r="C137" s="50">
        <f>IF(D93="","-",+C136+1)</f>
        <v>2057</v>
      </c>
      <c r="D137" s="12">
        <f>IF(F136+SUM(E$99:E136)=D$92,F136,D$92-SUM(E$99:E136))</f>
        <v>69334.870000000112</v>
      </c>
      <c r="E137" s="354">
        <f t="shared" si="34"/>
        <v>69334.870000000112</v>
      </c>
      <c r="F137" s="55">
        <f t="shared" si="35"/>
        <v>0</v>
      </c>
      <c r="G137" s="55">
        <f t="shared" si="36"/>
        <v>34667.435000000056</v>
      </c>
      <c r="H137" s="355">
        <f t="shared" si="37"/>
        <v>73481.826246730867</v>
      </c>
      <c r="I137" s="381">
        <f t="shared" si="38"/>
        <v>73481.826246730867</v>
      </c>
      <c r="J137" s="54">
        <f t="shared" si="40"/>
        <v>0</v>
      </c>
      <c r="K137" s="54"/>
      <c r="L137" s="115"/>
      <c r="M137" s="54">
        <f t="shared" si="41"/>
        <v>0</v>
      </c>
      <c r="N137" s="115"/>
      <c r="O137" s="54">
        <f t="shared" si="42"/>
        <v>0</v>
      </c>
      <c r="P137" s="54">
        <f t="shared" si="43"/>
        <v>0</v>
      </c>
    </row>
    <row r="138" spans="2:16">
      <c r="B138" s="7" t="str">
        <f t="shared" si="27"/>
        <v/>
      </c>
      <c r="C138" s="50">
        <f>IF(D93="","-",+C137+1)</f>
        <v>2058</v>
      </c>
      <c r="D138" s="12">
        <f>IF(F137+SUM(E$99:E137)=D$92,F137,D$92-SUM(E$99:E137))</f>
        <v>0</v>
      </c>
      <c r="E138" s="354">
        <f t="shared" si="34"/>
        <v>0</v>
      </c>
      <c r="F138" s="55">
        <f t="shared" si="35"/>
        <v>0</v>
      </c>
      <c r="G138" s="55">
        <f t="shared" si="36"/>
        <v>0</v>
      </c>
      <c r="H138" s="355">
        <f t="shared" si="37"/>
        <v>0</v>
      </c>
      <c r="I138" s="381">
        <f t="shared" si="38"/>
        <v>0</v>
      </c>
      <c r="J138" s="54">
        <f t="shared" si="40"/>
        <v>0</v>
      </c>
      <c r="K138" s="54"/>
      <c r="L138" s="115"/>
      <c r="M138" s="54">
        <f t="shared" si="41"/>
        <v>0</v>
      </c>
      <c r="N138" s="115"/>
      <c r="O138" s="54">
        <f t="shared" si="42"/>
        <v>0</v>
      </c>
      <c r="P138" s="54">
        <f t="shared" si="43"/>
        <v>0</v>
      </c>
    </row>
    <row r="139" spans="2:16">
      <c r="B139" s="7" t="str">
        <f t="shared" si="27"/>
        <v/>
      </c>
      <c r="C139" s="50">
        <f>IF(D93="","-",+C138+1)</f>
        <v>2059</v>
      </c>
      <c r="D139" s="12">
        <f>IF(F138+SUM(E$99:E138)=D$92,F138,D$92-SUM(E$99:E138))</f>
        <v>0</v>
      </c>
      <c r="E139" s="354">
        <f t="shared" si="34"/>
        <v>0</v>
      </c>
      <c r="F139" s="55">
        <f t="shared" si="35"/>
        <v>0</v>
      </c>
      <c r="G139" s="55">
        <f t="shared" si="36"/>
        <v>0</v>
      </c>
      <c r="H139" s="355">
        <f t="shared" si="37"/>
        <v>0</v>
      </c>
      <c r="I139" s="381">
        <f t="shared" si="38"/>
        <v>0</v>
      </c>
      <c r="J139" s="54">
        <f t="shared" si="40"/>
        <v>0</v>
      </c>
      <c r="K139" s="54"/>
      <c r="L139" s="115"/>
      <c r="M139" s="54">
        <f t="shared" si="41"/>
        <v>0</v>
      </c>
      <c r="N139" s="115"/>
      <c r="O139" s="54">
        <f t="shared" si="42"/>
        <v>0</v>
      </c>
      <c r="P139" s="54">
        <f t="shared" si="43"/>
        <v>0</v>
      </c>
    </row>
    <row r="140" spans="2:16">
      <c r="B140" s="7" t="str">
        <f t="shared" si="27"/>
        <v/>
      </c>
      <c r="C140" s="50">
        <f>IF(D93="","-",+C139+1)</f>
        <v>2060</v>
      </c>
      <c r="D140" s="12">
        <f>IF(F139+SUM(E$99:E139)=D$92,F139,D$92-SUM(E$99:E139))</f>
        <v>0</v>
      </c>
      <c r="E140" s="354">
        <f t="shared" si="34"/>
        <v>0</v>
      </c>
      <c r="F140" s="55">
        <f t="shared" si="35"/>
        <v>0</v>
      </c>
      <c r="G140" s="55">
        <f t="shared" si="36"/>
        <v>0</v>
      </c>
      <c r="H140" s="355">
        <f t="shared" si="37"/>
        <v>0</v>
      </c>
      <c r="I140" s="381">
        <f t="shared" si="38"/>
        <v>0</v>
      </c>
      <c r="J140" s="54">
        <f t="shared" si="40"/>
        <v>0</v>
      </c>
      <c r="K140" s="54"/>
      <c r="L140" s="115"/>
      <c r="M140" s="54">
        <f t="shared" si="41"/>
        <v>0</v>
      </c>
      <c r="N140" s="115"/>
      <c r="O140" s="54">
        <f t="shared" si="42"/>
        <v>0</v>
      </c>
      <c r="P140" s="54">
        <f t="shared" si="43"/>
        <v>0</v>
      </c>
    </row>
    <row r="141" spans="2:16">
      <c r="B141" s="7" t="str">
        <f t="shared" si="27"/>
        <v/>
      </c>
      <c r="C141" s="50">
        <f>IF(D93="","-",+C140+1)</f>
        <v>2061</v>
      </c>
      <c r="D141" s="12">
        <f>IF(F140+SUM(E$99:E140)=D$92,F140,D$92-SUM(E$99:E140))</f>
        <v>0</v>
      </c>
      <c r="E141" s="354">
        <f t="shared" si="34"/>
        <v>0</v>
      </c>
      <c r="F141" s="55">
        <f t="shared" si="35"/>
        <v>0</v>
      </c>
      <c r="G141" s="55">
        <f t="shared" si="36"/>
        <v>0</v>
      </c>
      <c r="H141" s="355">
        <f t="shared" si="37"/>
        <v>0</v>
      </c>
      <c r="I141" s="381">
        <f t="shared" si="38"/>
        <v>0</v>
      </c>
      <c r="J141" s="54">
        <f t="shared" si="40"/>
        <v>0</v>
      </c>
      <c r="K141" s="54"/>
      <c r="L141" s="115"/>
      <c r="M141" s="54">
        <f t="shared" si="41"/>
        <v>0</v>
      </c>
      <c r="N141" s="115"/>
      <c r="O141" s="54">
        <f t="shared" si="42"/>
        <v>0</v>
      </c>
      <c r="P141" s="54">
        <f t="shared" si="43"/>
        <v>0</v>
      </c>
    </row>
    <row r="142" spans="2:16">
      <c r="B142" s="7" t="str">
        <f t="shared" si="27"/>
        <v/>
      </c>
      <c r="C142" s="50">
        <f>IF(D93="","-",+C141+1)</f>
        <v>2062</v>
      </c>
      <c r="D142" s="12">
        <f>IF(F141+SUM(E$99:E141)=D$92,F141,D$92-SUM(E$99:E141))</f>
        <v>0</v>
      </c>
      <c r="E142" s="354">
        <f t="shared" si="34"/>
        <v>0</v>
      </c>
      <c r="F142" s="55">
        <f t="shared" si="35"/>
        <v>0</v>
      </c>
      <c r="G142" s="55">
        <f t="shared" si="36"/>
        <v>0</v>
      </c>
      <c r="H142" s="355">
        <f t="shared" si="37"/>
        <v>0</v>
      </c>
      <c r="I142" s="381">
        <f t="shared" si="38"/>
        <v>0</v>
      </c>
      <c r="J142" s="54">
        <f t="shared" si="40"/>
        <v>0</v>
      </c>
      <c r="K142" s="54"/>
      <c r="L142" s="115"/>
      <c r="M142" s="54">
        <f t="shared" si="41"/>
        <v>0</v>
      </c>
      <c r="N142" s="115"/>
      <c r="O142" s="54">
        <f t="shared" si="42"/>
        <v>0</v>
      </c>
      <c r="P142" s="54">
        <f t="shared" si="43"/>
        <v>0</v>
      </c>
    </row>
    <row r="143" spans="2:16">
      <c r="B143" s="7" t="str">
        <f t="shared" si="27"/>
        <v/>
      </c>
      <c r="C143" s="50">
        <f>IF(D93="","-",+C142+1)</f>
        <v>2063</v>
      </c>
      <c r="D143" s="12">
        <f>IF(F142+SUM(E$99:E142)=D$92,F142,D$92-SUM(E$99:E142))</f>
        <v>0</v>
      </c>
      <c r="E143" s="354">
        <f t="shared" si="34"/>
        <v>0</v>
      </c>
      <c r="F143" s="55">
        <f t="shared" si="35"/>
        <v>0</v>
      </c>
      <c r="G143" s="55">
        <f t="shared" si="36"/>
        <v>0</v>
      </c>
      <c r="H143" s="355">
        <f t="shared" si="37"/>
        <v>0</v>
      </c>
      <c r="I143" s="381">
        <f t="shared" si="38"/>
        <v>0</v>
      </c>
      <c r="J143" s="54">
        <f t="shared" si="40"/>
        <v>0</v>
      </c>
      <c r="K143" s="54"/>
      <c r="L143" s="115"/>
      <c r="M143" s="54">
        <f t="shared" si="41"/>
        <v>0</v>
      </c>
      <c r="N143" s="115"/>
      <c r="O143" s="54">
        <f t="shared" si="42"/>
        <v>0</v>
      </c>
      <c r="P143" s="54">
        <f t="shared" si="43"/>
        <v>0</v>
      </c>
    </row>
    <row r="144" spans="2:16">
      <c r="B144" s="7" t="str">
        <f t="shared" si="27"/>
        <v/>
      </c>
      <c r="C144" s="50">
        <f>IF(D93="","-",+C143+1)</f>
        <v>2064</v>
      </c>
      <c r="D144" s="12">
        <f>IF(F143+SUM(E$99:E143)=D$92,F143,D$92-SUM(E$99:E143))</f>
        <v>0</v>
      </c>
      <c r="E144" s="354">
        <f t="shared" si="34"/>
        <v>0</v>
      </c>
      <c r="F144" s="55">
        <f t="shared" si="35"/>
        <v>0</v>
      </c>
      <c r="G144" s="55">
        <f t="shared" si="36"/>
        <v>0</v>
      </c>
      <c r="H144" s="355">
        <f t="shared" si="37"/>
        <v>0</v>
      </c>
      <c r="I144" s="381">
        <f t="shared" si="38"/>
        <v>0</v>
      </c>
      <c r="J144" s="54">
        <f t="shared" si="40"/>
        <v>0</v>
      </c>
      <c r="K144" s="54"/>
      <c r="L144" s="115"/>
      <c r="M144" s="54">
        <f t="shared" si="41"/>
        <v>0</v>
      </c>
      <c r="N144" s="115"/>
      <c r="O144" s="54">
        <f t="shared" si="42"/>
        <v>0</v>
      </c>
      <c r="P144" s="54">
        <f t="shared" si="43"/>
        <v>0</v>
      </c>
    </row>
    <row r="145" spans="2:16">
      <c r="B145" s="7" t="str">
        <f t="shared" si="27"/>
        <v/>
      </c>
      <c r="C145" s="50">
        <f>IF(D93="","-",+C144+1)</f>
        <v>2065</v>
      </c>
      <c r="D145" s="12">
        <f>IF(F144+SUM(E$99:E144)=D$92,F144,D$92-SUM(E$99:E144))</f>
        <v>0</v>
      </c>
      <c r="E145" s="354">
        <f t="shared" si="34"/>
        <v>0</v>
      </c>
      <c r="F145" s="55">
        <f t="shared" si="35"/>
        <v>0</v>
      </c>
      <c r="G145" s="55">
        <f t="shared" si="36"/>
        <v>0</v>
      </c>
      <c r="H145" s="355">
        <f t="shared" si="37"/>
        <v>0</v>
      </c>
      <c r="I145" s="381">
        <f t="shared" si="38"/>
        <v>0</v>
      </c>
      <c r="J145" s="54">
        <f t="shared" si="40"/>
        <v>0</v>
      </c>
      <c r="K145" s="54"/>
      <c r="L145" s="115"/>
      <c r="M145" s="54">
        <f t="shared" si="41"/>
        <v>0</v>
      </c>
      <c r="N145" s="115"/>
      <c r="O145" s="54">
        <f t="shared" si="42"/>
        <v>0</v>
      </c>
      <c r="P145" s="54">
        <f t="shared" si="43"/>
        <v>0</v>
      </c>
    </row>
    <row r="146" spans="2:16">
      <c r="B146" s="7" t="str">
        <f t="shared" si="27"/>
        <v/>
      </c>
      <c r="C146" s="50">
        <f>IF(D93="","-",+C145+1)</f>
        <v>2066</v>
      </c>
      <c r="D146" s="12">
        <f>IF(F145+SUM(E$99:E145)=D$92,F145,D$92-SUM(E$99:E145))</f>
        <v>0</v>
      </c>
      <c r="E146" s="354">
        <f t="shared" si="34"/>
        <v>0</v>
      </c>
      <c r="F146" s="55">
        <f t="shared" si="35"/>
        <v>0</v>
      </c>
      <c r="G146" s="55">
        <f t="shared" si="36"/>
        <v>0</v>
      </c>
      <c r="H146" s="355">
        <f t="shared" si="37"/>
        <v>0</v>
      </c>
      <c r="I146" s="381">
        <f t="shared" si="38"/>
        <v>0</v>
      </c>
      <c r="J146" s="54">
        <f t="shared" si="40"/>
        <v>0</v>
      </c>
      <c r="K146" s="54"/>
      <c r="L146" s="115"/>
      <c r="M146" s="54">
        <f t="shared" si="41"/>
        <v>0</v>
      </c>
      <c r="N146" s="115"/>
      <c r="O146" s="54">
        <f t="shared" si="42"/>
        <v>0</v>
      </c>
      <c r="P146" s="54">
        <f t="shared" si="43"/>
        <v>0</v>
      </c>
    </row>
    <row r="147" spans="2:16">
      <c r="B147" s="7" t="str">
        <f t="shared" si="27"/>
        <v/>
      </c>
      <c r="C147" s="50">
        <f>IF(D93="","-",+C146+1)</f>
        <v>2067</v>
      </c>
      <c r="D147" s="12">
        <f>IF(F146+SUM(E$99:E146)=D$92,F146,D$92-SUM(E$99:E146))</f>
        <v>0</v>
      </c>
      <c r="E147" s="354">
        <f t="shared" si="34"/>
        <v>0</v>
      </c>
      <c r="F147" s="55">
        <f t="shared" si="35"/>
        <v>0</v>
      </c>
      <c r="G147" s="55">
        <f t="shared" si="36"/>
        <v>0</v>
      </c>
      <c r="H147" s="355">
        <f t="shared" si="37"/>
        <v>0</v>
      </c>
      <c r="I147" s="381">
        <f t="shared" si="38"/>
        <v>0</v>
      </c>
      <c r="J147" s="54">
        <f t="shared" si="40"/>
        <v>0</v>
      </c>
      <c r="K147" s="54"/>
      <c r="L147" s="115"/>
      <c r="M147" s="54">
        <f t="shared" si="41"/>
        <v>0</v>
      </c>
      <c r="N147" s="115"/>
      <c r="O147" s="54">
        <f t="shared" si="42"/>
        <v>0</v>
      </c>
      <c r="P147" s="54">
        <f t="shared" si="43"/>
        <v>0</v>
      </c>
    </row>
    <row r="148" spans="2:16">
      <c r="B148" s="7" t="str">
        <f t="shared" si="27"/>
        <v/>
      </c>
      <c r="C148" s="50">
        <f>IF(D93="","-",+C147+1)</f>
        <v>2068</v>
      </c>
      <c r="D148" s="12">
        <f>IF(F147+SUM(E$99:E147)=D$92,F147,D$92-SUM(E$99:E147))</f>
        <v>0</v>
      </c>
      <c r="E148" s="354">
        <f t="shared" si="34"/>
        <v>0</v>
      </c>
      <c r="F148" s="55">
        <f t="shared" si="35"/>
        <v>0</v>
      </c>
      <c r="G148" s="55">
        <f t="shared" si="36"/>
        <v>0</v>
      </c>
      <c r="H148" s="355">
        <f t="shared" si="37"/>
        <v>0</v>
      </c>
      <c r="I148" s="381">
        <f t="shared" si="38"/>
        <v>0</v>
      </c>
      <c r="J148" s="54">
        <f t="shared" si="40"/>
        <v>0</v>
      </c>
      <c r="K148" s="54"/>
      <c r="L148" s="115"/>
      <c r="M148" s="54">
        <f t="shared" si="41"/>
        <v>0</v>
      </c>
      <c r="N148" s="115"/>
      <c r="O148" s="54">
        <f t="shared" si="42"/>
        <v>0</v>
      </c>
      <c r="P148" s="54">
        <f t="shared" si="43"/>
        <v>0</v>
      </c>
    </row>
    <row r="149" spans="2:16">
      <c r="B149" s="7" t="str">
        <f t="shared" si="27"/>
        <v/>
      </c>
      <c r="C149" s="50">
        <f>IF(D93="","-",+C148+1)</f>
        <v>2069</v>
      </c>
      <c r="D149" s="12">
        <f>IF(F148+SUM(E$99:E148)=D$92,F148,D$92-SUM(E$99:E148))</f>
        <v>0</v>
      </c>
      <c r="E149" s="354">
        <f t="shared" si="34"/>
        <v>0</v>
      </c>
      <c r="F149" s="55">
        <f t="shared" si="35"/>
        <v>0</v>
      </c>
      <c r="G149" s="55">
        <f t="shared" si="36"/>
        <v>0</v>
      </c>
      <c r="H149" s="355">
        <f t="shared" si="37"/>
        <v>0</v>
      </c>
      <c r="I149" s="381">
        <f t="shared" si="38"/>
        <v>0</v>
      </c>
      <c r="J149" s="54">
        <f t="shared" si="40"/>
        <v>0</v>
      </c>
      <c r="K149" s="54"/>
      <c r="L149" s="115"/>
      <c r="M149" s="54">
        <f t="shared" si="41"/>
        <v>0</v>
      </c>
      <c r="N149" s="115"/>
      <c r="O149" s="54">
        <f t="shared" si="42"/>
        <v>0</v>
      </c>
      <c r="P149" s="54">
        <f t="shared" si="43"/>
        <v>0</v>
      </c>
    </row>
    <row r="150" spans="2:16">
      <c r="B150" s="7" t="str">
        <f t="shared" si="27"/>
        <v/>
      </c>
      <c r="C150" s="50">
        <f>IF(D93="","-",+C149+1)</f>
        <v>2070</v>
      </c>
      <c r="D150" s="12">
        <f>IF(F149+SUM(E$99:E149)=D$92,F149,D$92-SUM(E$99:E149))</f>
        <v>0</v>
      </c>
      <c r="E150" s="354">
        <f t="shared" si="34"/>
        <v>0</v>
      </c>
      <c r="F150" s="55">
        <f t="shared" si="35"/>
        <v>0</v>
      </c>
      <c r="G150" s="55">
        <f t="shared" si="36"/>
        <v>0</v>
      </c>
      <c r="H150" s="355">
        <f t="shared" si="37"/>
        <v>0</v>
      </c>
      <c r="I150" s="381">
        <f t="shared" si="38"/>
        <v>0</v>
      </c>
      <c r="J150" s="54">
        <f t="shared" si="40"/>
        <v>0</v>
      </c>
      <c r="K150" s="54"/>
      <c r="L150" s="115"/>
      <c r="M150" s="54">
        <f t="shared" si="41"/>
        <v>0</v>
      </c>
      <c r="N150" s="115"/>
      <c r="O150" s="54">
        <f t="shared" si="42"/>
        <v>0</v>
      </c>
      <c r="P150" s="54">
        <f t="shared" si="43"/>
        <v>0</v>
      </c>
    </row>
    <row r="151" spans="2:16">
      <c r="B151" s="7" t="str">
        <f t="shared" si="27"/>
        <v/>
      </c>
      <c r="C151" s="50">
        <f>IF(D93="","-",+C150+1)</f>
        <v>2071</v>
      </c>
      <c r="D151" s="12">
        <f>IF(F150+SUM(E$99:E150)=D$92,F150,D$92-SUM(E$99:E150))</f>
        <v>0</v>
      </c>
      <c r="E151" s="354">
        <f t="shared" si="34"/>
        <v>0</v>
      </c>
      <c r="F151" s="55">
        <f t="shared" si="35"/>
        <v>0</v>
      </c>
      <c r="G151" s="55">
        <f t="shared" si="36"/>
        <v>0</v>
      </c>
      <c r="H151" s="355">
        <f t="shared" si="37"/>
        <v>0</v>
      </c>
      <c r="I151" s="381">
        <f t="shared" si="38"/>
        <v>0</v>
      </c>
      <c r="J151" s="54">
        <f t="shared" si="40"/>
        <v>0</v>
      </c>
      <c r="K151" s="54"/>
      <c r="L151" s="115"/>
      <c r="M151" s="54">
        <f t="shared" si="41"/>
        <v>0</v>
      </c>
      <c r="N151" s="115"/>
      <c r="O151" s="54">
        <f t="shared" si="42"/>
        <v>0</v>
      </c>
      <c r="P151" s="54">
        <f t="shared" si="43"/>
        <v>0</v>
      </c>
    </row>
    <row r="152" spans="2:16">
      <c r="B152" s="7" t="str">
        <f t="shared" si="27"/>
        <v/>
      </c>
      <c r="C152" s="50">
        <f>IF(D93="","-",+C151+1)</f>
        <v>2072</v>
      </c>
      <c r="D152" s="12">
        <f>IF(F151+SUM(E$99:E151)=D$92,F151,D$92-SUM(E$99:E151))</f>
        <v>0</v>
      </c>
      <c r="E152" s="354">
        <f t="shared" si="34"/>
        <v>0</v>
      </c>
      <c r="F152" s="55">
        <f t="shared" si="35"/>
        <v>0</v>
      </c>
      <c r="G152" s="55">
        <f t="shared" si="36"/>
        <v>0</v>
      </c>
      <c r="H152" s="355">
        <f t="shared" si="37"/>
        <v>0</v>
      </c>
      <c r="I152" s="381">
        <f t="shared" si="38"/>
        <v>0</v>
      </c>
      <c r="J152" s="54">
        <f t="shared" si="40"/>
        <v>0</v>
      </c>
      <c r="K152" s="54"/>
      <c r="L152" s="115"/>
      <c r="M152" s="54">
        <f t="shared" si="41"/>
        <v>0</v>
      </c>
      <c r="N152" s="115"/>
      <c r="O152" s="54">
        <f t="shared" si="42"/>
        <v>0</v>
      </c>
      <c r="P152" s="54">
        <f t="shared" si="43"/>
        <v>0</v>
      </c>
    </row>
    <row r="153" spans="2:16">
      <c r="B153" s="7" t="str">
        <f t="shared" si="27"/>
        <v/>
      </c>
      <c r="C153" s="50">
        <f>IF(D93="","-",+C152+1)</f>
        <v>2073</v>
      </c>
      <c r="D153" s="12">
        <f>IF(F152+SUM(E$99:E152)=D$92,F152,D$92-SUM(E$99:E152))</f>
        <v>0</v>
      </c>
      <c r="E153" s="354">
        <f t="shared" si="34"/>
        <v>0</v>
      </c>
      <c r="F153" s="55">
        <f t="shared" si="35"/>
        <v>0</v>
      </c>
      <c r="G153" s="55">
        <f t="shared" si="36"/>
        <v>0</v>
      </c>
      <c r="H153" s="355">
        <f t="shared" si="37"/>
        <v>0</v>
      </c>
      <c r="I153" s="381">
        <f t="shared" si="38"/>
        <v>0</v>
      </c>
      <c r="J153" s="54">
        <f t="shared" si="40"/>
        <v>0</v>
      </c>
      <c r="K153" s="54"/>
      <c r="L153" s="115"/>
      <c r="M153" s="54">
        <f t="shared" si="41"/>
        <v>0</v>
      </c>
      <c r="N153" s="115"/>
      <c r="O153" s="54">
        <f t="shared" si="42"/>
        <v>0</v>
      </c>
      <c r="P153" s="54">
        <f t="shared" si="43"/>
        <v>0</v>
      </c>
    </row>
    <row r="154" spans="2:16" ht="13.5" thickBot="1">
      <c r="B154" s="7" t="str">
        <f t="shared" si="27"/>
        <v/>
      </c>
      <c r="C154" s="58">
        <f>IF(D93="","-",+C153+1)</f>
        <v>2074</v>
      </c>
      <c r="D154" s="82">
        <f>IF(F153+SUM(E$99:E153)=D$92,F153,D$92-SUM(E$99:E153))</f>
        <v>0</v>
      </c>
      <c r="E154" s="357">
        <f t="shared" si="34"/>
        <v>0</v>
      </c>
      <c r="F154" s="59">
        <f t="shared" si="35"/>
        <v>0</v>
      </c>
      <c r="G154" s="59">
        <f t="shared" si="36"/>
        <v>0</v>
      </c>
      <c r="H154" s="435">
        <f t="shared" ref="H154" si="44">+J$94*G154+E154</f>
        <v>0</v>
      </c>
      <c r="I154" s="436">
        <f t="shared" ref="I154" si="45">+J$95*G154+E154</f>
        <v>0</v>
      </c>
      <c r="J154" s="62">
        <f t="shared" si="40"/>
        <v>0</v>
      </c>
      <c r="K154" s="54"/>
      <c r="L154" s="116"/>
      <c r="M154" s="62">
        <f t="shared" si="41"/>
        <v>0</v>
      </c>
      <c r="N154" s="116"/>
      <c r="O154" s="62">
        <f t="shared" si="42"/>
        <v>0</v>
      </c>
      <c r="P154" s="62">
        <f t="shared" si="43"/>
        <v>0</v>
      </c>
    </row>
    <row r="155" spans="2:16">
      <c r="C155" s="12" t="s">
        <v>77</v>
      </c>
      <c r="D155" s="266"/>
      <c r="E155" s="266">
        <f>SUM(E99:E154)</f>
        <v>8147276.8700000001</v>
      </c>
      <c r="F155" s="266"/>
      <c r="G155" s="266"/>
      <c r="H155" s="266">
        <f>SUM(H99:H154)</f>
        <v>26718989.935822379</v>
      </c>
      <c r="I155" s="266">
        <f>SUM(I99:I154)</f>
        <v>26718989.935822379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3" priority="1" stopIfTrue="1" operator="equal">
      <formula>$I$10</formula>
    </cfRule>
  </conditionalFormatting>
  <conditionalFormatting sqref="C99:C154">
    <cfRule type="cellIs" dxfId="2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>
    <tabColor rgb="FF00B050"/>
  </sheetPr>
  <dimension ref="A1:S137"/>
  <sheetViews>
    <sheetView topLeftCell="I99" zoomScaleNormal="100" zoomScaleSheetLayoutView="100" workbookViewId="0">
      <selection activeCell="N124" sqref="N124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0.7109375" customWidth="1"/>
    <col min="4" max="9" width="17.7109375" customWidth="1"/>
    <col min="10" max="10" width="17.7109375" bestFit="1" customWidth="1"/>
    <col min="11" max="11" width="2.140625" customWidth="1"/>
    <col min="12" max="15" width="17.7109375" customWidth="1"/>
    <col min="16" max="16" width="19.5703125" customWidth="1"/>
    <col min="17" max="17" width="2.140625" customWidth="1"/>
    <col min="18" max="18" width="16.42578125" customWidth="1"/>
    <col min="19" max="19" width="52.42578125" customWidth="1"/>
  </cols>
  <sheetData>
    <row r="1" spans="1:19" ht="18">
      <c r="A1" s="537" t="str">
        <f>'PSO.WS.F.BPU.ATRR.Projected'!A1</f>
        <v xml:space="preserve">AEP West SPP Member Companies 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</row>
    <row r="2" spans="1:19" ht="18">
      <c r="A2" s="537" t="str">
        <f>'PSO.WS.F.BPU.ATRR.Projected'!A2</f>
        <v>2026 Cost of Service Formula Rate Projected on 2025 FF1 Balances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Q2" s="91" t="s">
        <v>125</v>
      </c>
    </row>
    <row r="3" spans="1:19" ht="18">
      <c r="A3" s="540" t="s">
        <v>141</v>
      </c>
      <c r="B3" s="539"/>
      <c r="C3" s="539"/>
      <c r="D3" s="539"/>
      <c r="E3" s="539"/>
      <c r="F3" s="539"/>
      <c r="G3" s="539"/>
      <c r="H3" s="539"/>
      <c r="I3" s="539"/>
      <c r="J3" s="539"/>
      <c r="K3" s="539"/>
    </row>
    <row r="4" spans="1:19" ht="18">
      <c r="A4" s="539" t="str">
        <f>"Based on a Carrying Charge Derived from ""Trued-Up"" "&amp;M16&amp;" Data"</f>
        <v>Based on a Carrying Charge Derived from "Trued-Up" 2025 Data</v>
      </c>
      <c r="B4" s="539"/>
      <c r="C4" s="539"/>
      <c r="D4" s="539"/>
      <c r="E4" s="539"/>
      <c r="F4" s="539"/>
      <c r="G4" s="539"/>
      <c r="H4" s="539"/>
      <c r="I4" s="539"/>
      <c r="J4" s="539"/>
      <c r="K4" s="539"/>
    </row>
    <row r="5" spans="1:19" ht="18">
      <c r="A5" s="544" t="str">
        <f>'PSO.WS.F.BPU.ATRR.Projected'!A5</f>
        <v>PUBLIC SERVICE COMPANY OF OKLAHOMA</v>
      </c>
      <c r="B5" s="545"/>
      <c r="C5" s="545"/>
      <c r="D5" s="545"/>
      <c r="E5" s="545"/>
      <c r="F5" s="545"/>
      <c r="G5" s="545"/>
      <c r="H5" s="545"/>
      <c r="I5" s="545"/>
      <c r="J5" s="545"/>
      <c r="K5" s="545"/>
    </row>
    <row r="6" spans="1:19" ht="20.25">
      <c r="A6" s="289"/>
      <c r="C6" s="10"/>
      <c r="D6" s="7"/>
      <c r="I6" s="183"/>
    </row>
    <row r="7" spans="1:19">
      <c r="D7" s="7"/>
      <c r="I7" s="183"/>
    </row>
    <row r="8" spans="1:19" ht="38.25" customHeight="1">
      <c r="B8" s="203" t="s">
        <v>0</v>
      </c>
      <c r="C8" s="542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543"/>
      <c r="E8" s="543"/>
      <c r="F8" s="543"/>
      <c r="G8" s="543"/>
      <c r="H8" s="543"/>
      <c r="I8" s="543"/>
    </row>
    <row r="9" spans="1:19" ht="15.75" customHeight="1">
      <c r="C9" s="5"/>
      <c r="D9" s="5"/>
      <c r="E9" s="5"/>
      <c r="F9" s="5"/>
      <c r="G9" s="5"/>
      <c r="H9" s="5"/>
      <c r="I9" s="5"/>
    </row>
    <row r="10" spans="1:19" ht="15.7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I10" s="183"/>
    </row>
    <row r="11" spans="1:19">
      <c r="D11" s="7"/>
      <c r="I11" s="183"/>
    </row>
    <row r="12" spans="1:19">
      <c r="C12" s="206" t="str">
        <f>S105</f>
        <v xml:space="preserve">   ROE w/o incentives  (TCOS, ln 143)</v>
      </c>
      <c r="D12" s="7"/>
      <c r="E12" s="207"/>
      <c r="F12" s="208">
        <f>+R105</f>
        <v>0.105</v>
      </c>
      <c r="G12" s="208"/>
      <c r="H12" s="209"/>
      <c r="I12" s="210"/>
      <c r="J12" s="211"/>
      <c r="K12" s="211"/>
      <c r="L12" s="211"/>
      <c r="M12" s="211"/>
      <c r="N12" s="211"/>
      <c r="O12" s="211"/>
      <c r="P12" s="211"/>
      <c r="Q12" s="211"/>
      <c r="R12" s="1"/>
      <c r="S12" s="1"/>
    </row>
    <row r="13" spans="1:19" ht="13.5" thickBot="1">
      <c r="C13" s="206" t="s">
        <v>1</v>
      </c>
      <c r="D13" s="7"/>
      <c r="E13" s="207"/>
      <c r="F13" s="290">
        <f>R106</f>
        <v>0</v>
      </c>
      <c r="G13" s="291" t="s">
        <v>152</v>
      </c>
      <c r="L13" s="211"/>
      <c r="M13" s="211"/>
      <c r="N13" s="211"/>
      <c r="O13" s="211"/>
      <c r="P13" s="211"/>
      <c r="Q13" s="211"/>
      <c r="R13" s="1"/>
      <c r="S13" s="1"/>
    </row>
    <row r="14" spans="1:19">
      <c r="C14" s="206" t="str">
        <f>"   ROE with additional "&amp;F13&amp;" basis point incentive"</f>
        <v xml:space="preserve">   ROE with additional 0 basis point incentive</v>
      </c>
      <c r="D14" s="207"/>
      <c r="E14" s="207"/>
      <c r="F14" s="213">
        <f>IF((F12+(F13/10000)&gt;0.1245),"ERROR",F12+(F13/10000))</f>
        <v>0.105</v>
      </c>
      <c r="G14" s="214" t="s">
        <v>2</v>
      </c>
      <c r="I14" s="211"/>
      <c r="J14" s="211"/>
      <c r="K14" s="211"/>
      <c r="L14" s="292" t="s">
        <v>89</v>
      </c>
      <c r="M14" s="293"/>
      <c r="N14" s="293"/>
      <c r="O14" s="293"/>
      <c r="P14" s="294"/>
      <c r="Q14" s="211"/>
      <c r="R14" s="1"/>
      <c r="S14" s="1"/>
    </row>
    <row r="15" spans="1:19">
      <c r="C15" s="206" t="s">
        <v>232</v>
      </c>
      <c r="D15" s="7"/>
      <c r="E15" s="207"/>
      <c r="F15" s="213"/>
      <c r="G15" s="213"/>
      <c r="H15" s="207"/>
      <c r="I15" s="211"/>
      <c r="J15" s="211"/>
      <c r="K15" s="211"/>
      <c r="L15" s="222"/>
      <c r="M15" s="211"/>
      <c r="N15" s="211" t="s">
        <v>8</v>
      </c>
      <c r="O15" s="211" t="s">
        <v>9</v>
      </c>
      <c r="P15" s="224" t="s">
        <v>10</v>
      </c>
      <c r="Q15" s="211"/>
      <c r="R15" s="1"/>
      <c r="S15" s="1"/>
    </row>
    <row r="16" spans="1:19">
      <c r="C16" s="211"/>
      <c r="D16" s="215" t="s">
        <v>4</v>
      </c>
      <c r="E16" s="215" t="s">
        <v>5</v>
      </c>
      <c r="F16" s="216" t="s">
        <v>6</v>
      </c>
      <c r="G16" s="216"/>
      <c r="H16" s="207"/>
      <c r="I16" s="211"/>
      <c r="J16" s="211"/>
      <c r="K16" s="211"/>
      <c r="L16" s="222" t="s">
        <v>90</v>
      </c>
      <c r="M16" s="295">
        <f>+R104</f>
        <v>2025</v>
      </c>
      <c r="P16" s="228"/>
      <c r="Q16" s="211"/>
      <c r="R16" s="1"/>
      <c r="S16" s="1"/>
    </row>
    <row r="17" spans="3:19">
      <c r="C17" s="217" t="s">
        <v>7</v>
      </c>
      <c r="D17" s="218">
        <f>R107</f>
        <v>0.50638477185040831</v>
      </c>
      <c r="E17" s="219">
        <f>R108</f>
        <v>4.5340199690810989E-2</v>
      </c>
      <c r="F17" s="220">
        <f>E17*D17</f>
        <v>2.2959586676083277E-2</v>
      </c>
      <c r="G17" s="220"/>
      <c r="H17" s="207"/>
      <c r="I17" s="211"/>
      <c r="J17" s="221"/>
      <c r="K17" s="221"/>
      <c r="L17" s="227"/>
      <c r="M17" s="296" t="s">
        <v>219</v>
      </c>
      <c r="N17" s="297">
        <f>SUM('P.001:P.xyz - blank'!M87)</f>
        <v>9807391.5524433423</v>
      </c>
      <c r="O17" s="297">
        <f>SUM('P.001:P.xyz - blank'!N87)</f>
        <v>9807391.5524433423</v>
      </c>
      <c r="P17" s="298">
        <f>+O17-N17</f>
        <v>0</v>
      </c>
      <c r="Q17" s="221"/>
      <c r="R17" s="1"/>
      <c r="S17" s="1"/>
    </row>
    <row r="18" spans="3:19" ht="13.5" thickBot="1">
      <c r="C18" s="217" t="s">
        <v>11</v>
      </c>
      <c r="D18" s="218">
        <f>R109</f>
        <v>0</v>
      </c>
      <c r="E18" s="219">
        <f>R110</f>
        <v>0</v>
      </c>
      <c r="F18" s="220">
        <f>E18*D18</f>
        <v>0</v>
      </c>
      <c r="G18" s="220"/>
      <c r="H18" s="225"/>
      <c r="I18" s="225"/>
      <c r="J18" s="226"/>
      <c r="K18" s="226"/>
      <c r="L18" s="227"/>
      <c r="M18" s="299" t="s">
        <v>218</v>
      </c>
      <c r="N18" s="300">
        <f>SUM('P.001:P.xyz - blank'!M88)</f>
        <v>10195656.168006718</v>
      </c>
      <c r="O18" s="300">
        <f>SUM('P.001:P.xyz - blank'!N88)</f>
        <v>10195656.168006718</v>
      </c>
      <c r="P18" s="232">
        <f>+O18-N18</f>
        <v>0</v>
      </c>
      <c r="Q18" s="226"/>
      <c r="R18" s="1"/>
      <c r="S18" s="1"/>
    </row>
    <row r="19" spans="3:19">
      <c r="C19" s="217" t="s">
        <v>12</v>
      </c>
      <c r="D19" s="218">
        <f>R111</f>
        <v>0.49361522814959163</v>
      </c>
      <c r="E19" s="219">
        <f>+F14</f>
        <v>0.105</v>
      </c>
      <c r="F19" s="229">
        <f>E19*D19</f>
        <v>5.1829598955707122E-2</v>
      </c>
      <c r="G19" s="229"/>
      <c r="H19" s="225"/>
      <c r="I19" s="225"/>
      <c r="J19" s="213"/>
      <c r="K19" s="226"/>
      <c r="L19" s="227"/>
      <c r="M19" s="301" t="str">
        <f>"True-up Adjustment For "&amp;M16&amp;""</f>
        <v>True-up Adjustment For 2025</v>
      </c>
      <c r="N19" s="199">
        <f>+N18-N17</f>
        <v>388264.61556337588</v>
      </c>
      <c r="O19" s="199">
        <f>+O18-O17</f>
        <v>388264.61556337588</v>
      </c>
      <c r="P19" s="302">
        <f>+P18-P17</f>
        <v>0</v>
      </c>
      <c r="Q19" s="226"/>
      <c r="R19" s="1"/>
      <c r="S19" s="1"/>
    </row>
    <row r="20" spans="3:19">
      <c r="C20" s="206"/>
      <c r="D20" s="207"/>
      <c r="E20" s="233" t="s">
        <v>14</v>
      </c>
      <c r="F20" s="220">
        <f>SUM(F17:F19)</f>
        <v>7.4789185631790406E-2</v>
      </c>
      <c r="G20" s="220"/>
      <c r="H20" s="303"/>
      <c r="I20" s="225"/>
      <c r="J20" s="226"/>
      <c r="K20" s="226"/>
      <c r="L20" s="227"/>
      <c r="N20" s="234" t="str">
        <f>IF(ROUND(N19,0)=ROUND(SUM('P.001:P.xyz - blank'!M89),0),"","ERROR")</f>
        <v/>
      </c>
      <c r="O20" s="234" t="str">
        <f>IF(ROUND(O19,0)=ROUND(SUM('P.001:P.xyz - blank'!N89),0),"","ERROR")</f>
        <v/>
      </c>
      <c r="P20" s="234" t="str">
        <f>IF(P19=SUM('P.001:P.xyz - blank'!O89),"","ERROR")</f>
        <v/>
      </c>
      <c r="Q20" s="226"/>
      <c r="R20" s="1"/>
      <c r="S20" s="1"/>
    </row>
    <row r="21" spans="3:19" ht="13.5" thickBot="1">
      <c r="D21" s="235"/>
      <c r="E21" s="235"/>
      <c r="F21" s="225"/>
      <c r="G21" s="225"/>
      <c r="H21" s="225"/>
      <c r="I21" s="225"/>
      <c r="J21" s="225"/>
      <c r="K21" s="225"/>
      <c r="L21" s="304"/>
      <c r="M21" s="305"/>
      <c r="N21" s="306"/>
      <c r="O21" s="306"/>
      <c r="P21" s="232"/>
      <c r="Q21" s="225"/>
      <c r="R21" s="1"/>
      <c r="S21" s="1"/>
    </row>
    <row r="22" spans="3:19" ht="15.7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35"/>
      <c r="E22" s="235"/>
      <c r="F22" s="225"/>
      <c r="G22" s="225"/>
      <c r="H22" s="225"/>
      <c r="I22" s="207"/>
      <c r="J22" s="225"/>
      <c r="K22" s="225"/>
      <c r="L22" s="225"/>
      <c r="M22" s="225"/>
      <c r="N22" s="225"/>
      <c r="O22" s="225"/>
      <c r="P22" s="225"/>
      <c r="Q22" s="225"/>
      <c r="R22" s="1"/>
      <c r="S22" s="1"/>
    </row>
    <row r="23" spans="3:19">
      <c r="C23" s="211"/>
      <c r="D23" s="235"/>
      <c r="E23" s="235"/>
      <c r="F23" s="225"/>
      <c r="G23" s="225"/>
      <c r="H23" s="225"/>
      <c r="I23" s="225"/>
      <c r="J23" s="225"/>
      <c r="K23" s="225"/>
      <c r="L23" s="26" t="s">
        <v>15</v>
      </c>
      <c r="M23" s="225"/>
      <c r="N23" s="225"/>
      <c r="O23" s="225"/>
      <c r="P23" s="225"/>
      <c r="Q23" s="225"/>
      <c r="R23" s="1"/>
      <c r="S23" s="1"/>
    </row>
    <row r="24" spans="3:19">
      <c r="C24" s="206" t="str">
        <f>S112</f>
        <v xml:space="preserve">   Rate Base  (TCOS, ln 63)</v>
      </c>
      <c r="D24" s="207"/>
      <c r="E24" s="236">
        <f>R112</f>
        <v>758697778.4409132</v>
      </c>
      <c r="F24" s="237"/>
      <c r="G24" s="237"/>
      <c r="H24" s="225"/>
      <c r="I24" s="225"/>
      <c r="J24" s="225"/>
      <c r="K24" s="225"/>
      <c r="L24" t="s">
        <v>16</v>
      </c>
      <c r="M24" s="225"/>
      <c r="N24" s="225"/>
      <c r="O24" s="225"/>
      <c r="P24" s="237"/>
      <c r="Q24" s="225"/>
      <c r="R24" s="1"/>
      <c r="S24" s="1"/>
    </row>
    <row r="25" spans="3:19">
      <c r="C25" s="211" t="s">
        <v>17</v>
      </c>
      <c r="D25" s="209"/>
      <c r="E25" s="238">
        <f>F20</f>
        <v>7.4789185631790406E-2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1"/>
      <c r="S25" s="1"/>
    </row>
    <row r="26" spans="3:19">
      <c r="C26" s="239" t="s">
        <v>18</v>
      </c>
      <c r="D26" s="239"/>
      <c r="E26" s="226">
        <f>E24*E25</f>
        <v>56742388.990244448</v>
      </c>
      <c r="F26" s="225"/>
      <c r="G26" s="225"/>
      <c r="H26" s="225"/>
      <c r="I26" s="225"/>
      <c r="J26" s="226"/>
      <c r="K26" s="226"/>
      <c r="L26" s="226"/>
      <c r="M26" s="226"/>
      <c r="N26" s="226"/>
      <c r="O26" s="226"/>
      <c r="P26" s="225"/>
      <c r="Q26" s="226"/>
      <c r="R26" s="1"/>
      <c r="S26" s="1"/>
    </row>
    <row r="27" spans="3:19">
      <c r="C27" s="239"/>
      <c r="D27" s="211"/>
      <c r="E27" s="211"/>
      <c r="F27" s="225"/>
      <c r="G27" s="225"/>
      <c r="H27" s="225"/>
      <c r="I27" s="225"/>
      <c r="J27" s="226"/>
      <c r="K27" s="226"/>
      <c r="L27" s="226"/>
      <c r="M27" s="226"/>
      <c r="N27" s="226"/>
      <c r="O27" s="226"/>
      <c r="P27" s="225"/>
      <c r="Q27" s="226"/>
      <c r="R27" s="1"/>
      <c r="S27" s="1"/>
    </row>
    <row r="28" spans="3:19" ht="15.7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40"/>
      <c r="E28" s="240"/>
      <c r="F28" s="241"/>
      <c r="G28" s="241"/>
      <c r="H28" s="241"/>
      <c r="I28" s="241"/>
      <c r="J28" s="242"/>
      <c r="K28" s="242"/>
      <c r="L28" s="242"/>
      <c r="M28" s="242"/>
      <c r="N28" s="242"/>
      <c r="O28" s="242"/>
      <c r="P28" s="241"/>
      <c r="Q28" s="242"/>
      <c r="R28" s="1"/>
      <c r="S28" s="1"/>
    </row>
    <row r="29" spans="3:19">
      <c r="C29" s="206"/>
      <c r="D29" s="211"/>
      <c r="E29" s="211"/>
      <c r="F29" s="225"/>
      <c r="G29" s="225"/>
      <c r="H29" s="225"/>
      <c r="I29" s="225"/>
      <c r="J29" s="226"/>
      <c r="K29" s="226"/>
      <c r="L29" s="226"/>
      <c r="M29" s="226"/>
      <c r="N29" s="226"/>
      <c r="O29" s="226"/>
      <c r="P29" s="225"/>
      <c r="Q29" s="226"/>
      <c r="R29" s="1"/>
      <c r="S29" s="1"/>
    </row>
    <row r="30" spans="3:19">
      <c r="C30" s="211" t="s">
        <v>19</v>
      </c>
      <c r="D30" s="233"/>
      <c r="E30" s="237">
        <f>E26</f>
        <v>56742388.990244448</v>
      </c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1"/>
      <c r="S30" s="1"/>
    </row>
    <row r="31" spans="3:19">
      <c r="C31" s="206" t="str">
        <f>S113</f>
        <v xml:space="preserve">   Tax Rate  (TCOS, ln 99)</v>
      </c>
      <c r="D31" s="233"/>
      <c r="E31" s="8">
        <f>R113</f>
        <v>0.24088900000000002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1"/>
      <c r="S31" s="1"/>
    </row>
    <row r="32" spans="3:19">
      <c r="C32" s="211" t="s">
        <v>20</v>
      </c>
      <c r="D32" s="2"/>
      <c r="E32" s="213">
        <f>IF(F17&gt;0,($E31/(1-$E31))*(1-$F17/$F20),0)</f>
        <v>0.21991291141373248</v>
      </c>
      <c r="F32" s="1"/>
      <c r="G32" s="1"/>
      <c r="H32" s="1"/>
      <c r="I32" s="202"/>
      <c r="J32" s="1"/>
      <c r="K32" s="1"/>
      <c r="L32" s="1"/>
      <c r="M32" s="1"/>
      <c r="N32" s="1"/>
      <c r="O32" s="1"/>
      <c r="P32" s="1"/>
      <c r="Q32" s="1"/>
      <c r="R32" s="1"/>
      <c r="S32" s="8"/>
    </row>
    <row r="33" spans="2:19">
      <c r="C33" s="239" t="s">
        <v>21</v>
      </c>
      <c r="D33" s="2"/>
      <c r="E33" s="243">
        <f>E30*E32</f>
        <v>12478383.963415176</v>
      </c>
      <c r="F33" s="1"/>
      <c r="G33" s="1"/>
      <c r="H33" s="1"/>
      <c r="I33" s="202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2:19" ht="15">
      <c r="C34" s="206" t="str">
        <f>+S114</f>
        <v xml:space="preserve">   ITC Adjustment  (TCOS, ln 108)</v>
      </c>
      <c r="D34" s="244"/>
      <c r="E34" s="225">
        <f>R114</f>
        <v>54046.411741842378</v>
      </c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5"/>
      <c r="Q34" s="244"/>
      <c r="R34" s="1"/>
      <c r="S34" s="1"/>
    </row>
    <row r="35" spans="2:19" ht="15">
      <c r="C35" s="206" t="str">
        <f>+S115</f>
        <v xml:space="preserve">   Excess DFIT Adjustment  (TCOS, ln 109)</v>
      </c>
      <c r="D35" s="244"/>
      <c r="E35" s="225">
        <f>R115</f>
        <v>-1342300.2026314705</v>
      </c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5"/>
      <c r="Q35" s="244"/>
      <c r="R35" s="1"/>
      <c r="S35" s="1"/>
    </row>
    <row r="36" spans="2:19" ht="15">
      <c r="C36" s="206" t="str">
        <f>+S116</f>
        <v xml:space="preserve">   Tax Effect of Permanent and Flow Through Differences (TCOS, ln 110)</v>
      </c>
      <c r="D36" s="244"/>
      <c r="E36" s="225">
        <f>R116</f>
        <v>125372.81087516515</v>
      </c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5"/>
      <c r="Q36" s="244"/>
      <c r="R36" s="1"/>
      <c r="S36" s="1"/>
    </row>
    <row r="37" spans="2:19" ht="15">
      <c r="C37" s="239" t="s">
        <v>22</v>
      </c>
      <c r="D37" s="244"/>
      <c r="E37" s="225">
        <f>E33+E34+E35+E36</f>
        <v>11315502.983400712</v>
      </c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6"/>
      <c r="Q37" s="244"/>
      <c r="R37" s="1"/>
      <c r="S37" s="1"/>
    </row>
    <row r="38" spans="2:19" ht="12.75" customHeight="1">
      <c r="C38" s="247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6"/>
      <c r="Q38" s="244"/>
      <c r="R38" s="1"/>
      <c r="S38" s="1"/>
    </row>
    <row r="39" spans="2:19" ht="18.75">
      <c r="B39" s="4" t="s">
        <v>23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6"/>
      <c r="Q39" s="244"/>
      <c r="R39" s="1"/>
      <c r="S39" s="1"/>
    </row>
    <row r="40" spans="2:19" ht="18.75" customHeight="1">
      <c r="B40" s="4"/>
      <c r="C40" s="10" t="str">
        <f>"ROE increase."</f>
        <v>ROE increase.</v>
      </c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6"/>
      <c r="Q40" s="244"/>
      <c r="R40" s="1"/>
      <c r="S40" s="1"/>
    </row>
    <row r="41" spans="2:19" ht="12.75" customHeight="1">
      <c r="C41" s="247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6"/>
      <c r="Q41" s="244"/>
      <c r="R41" s="1"/>
      <c r="S41" s="1"/>
    </row>
    <row r="42" spans="2:19" ht="15.75">
      <c r="C42" s="6" t="s">
        <v>24</v>
      </c>
      <c r="D42" s="244"/>
      <c r="E42" s="244"/>
      <c r="F42" s="247"/>
      <c r="G42" s="247"/>
      <c r="H42" s="244"/>
      <c r="I42" s="244"/>
      <c r="J42" s="244"/>
      <c r="K42" s="244"/>
      <c r="L42" s="244"/>
      <c r="M42" s="244"/>
      <c r="N42" s="244"/>
      <c r="O42" s="244"/>
      <c r="P42" s="246"/>
      <c r="Q42" s="244"/>
      <c r="R42" s="1"/>
      <c r="S42" s="1"/>
    </row>
    <row r="43" spans="2:19">
      <c r="B43" s="1"/>
      <c r="C43" s="206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25"/>
      <c r="Q43" s="207"/>
      <c r="R43" s="1"/>
      <c r="S43" s="1"/>
    </row>
    <row r="44" spans="2:19" ht="12.75" customHeight="1">
      <c r="B44" s="1"/>
      <c r="C44" s="206" t="str">
        <f>S117</f>
        <v xml:space="preserve">   Net Revenue Requirement  (TCOS, ln 117)</v>
      </c>
      <c r="D44" s="207"/>
      <c r="E44" s="207"/>
      <c r="F44" s="225">
        <f>R117</f>
        <v>133686771.57255873</v>
      </c>
      <c r="G44" s="225"/>
      <c r="H44" s="207"/>
      <c r="I44" s="207"/>
      <c r="J44" s="207"/>
      <c r="K44" s="207"/>
      <c r="L44" s="207"/>
      <c r="M44" s="207"/>
      <c r="N44" s="207"/>
      <c r="O44" s="207"/>
      <c r="P44" s="225"/>
      <c r="Q44" s="207"/>
      <c r="R44" s="1"/>
      <c r="S44" s="1"/>
    </row>
    <row r="45" spans="2:19">
      <c r="B45" s="1"/>
      <c r="C45" s="206" t="str">
        <f>S118</f>
        <v xml:space="preserve">   Return  (TCOS, ln 112)</v>
      </c>
      <c r="D45" s="207"/>
      <c r="E45" s="207"/>
      <c r="F45" s="225">
        <f>R118</f>
        <v>56742388.990244448</v>
      </c>
      <c r="G45" s="226"/>
      <c r="H45" s="206"/>
      <c r="I45" s="206"/>
      <c r="J45" s="206"/>
      <c r="K45" s="206"/>
      <c r="L45" s="206"/>
      <c r="M45" s="206"/>
      <c r="N45" s="206"/>
      <c r="O45" s="206"/>
      <c r="P45" s="225"/>
      <c r="Q45" s="206"/>
      <c r="R45" s="1"/>
      <c r="S45" s="1"/>
    </row>
    <row r="46" spans="2:19">
      <c r="B46" s="1"/>
      <c r="C46" s="206" t="str">
        <f>S119</f>
        <v xml:space="preserve">   Income Taxes  (TCOS, ln 111)</v>
      </c>
      <c r="D46" s="207"/>
      <c r="E46" s="207"/>
      <c r="F46" s="225">
        <f>R119</f>
        <v>11315502.983400712</v>
      </c>
      <c r="G46" s="225"/>
      <c r="H46" s="207"/>
      <c r="I46" s="207"/>
      <c r="J46" s="248"/>
      <c r="K46" s="248"/>
      <c r="L46" s="248"/>
      <c r="M46" s="248"/>
      <c r="N46" s="248"/>
      <c r="O46" s="248"/>
      <c r="P46" s="207"/>
      <c r="Q46" s="248"/>
      <c r="R46" s="1"/>
      <c r="S46" s="1"/>
    </row>
    <row r="47" spans="2:19">
      <c r="B47" s="1"/>
      <c r="C47" s="206" t="str">
        <f>S120</f>
        <v xml:space="preserve">  Gross Margin Taxes  (TCOS, ln 116)</v>
      </c>
      <c r="D47" s="207"/>
      <c r="E47" s="207"/>
      <c r="F47" s="249">
        <f>R120</f>
        <v>0</v>
      </c>
      <c r="G47" s="225"/>
      <c r="H47" s="207"/>
      <c r="I47" s="207"/>
      <c r="J47" s="248"/>
      <c r="K47" s="248"/>
      <c r="L47" s="248"/>
      <c r="M47" s="248"/>
      <c r="N47" s="248"/>
      <c r="O47" s="248"/>
      <c r="P47" s="207"/>
      <c r="Q47" s="248"/>
      <c r="R47" s="1"/>
      <c r="S47" s="1"/>
    </row>
    <row r="48" spans="2:19">
      <c r="B48" s="1"/>
      <c r="C48" s="1" t="s">
        <v>25</v>
      </c>
      <c r="D48" s="207"/>
      <c r="E48" s="207"/>
      <c r="F48" s="226">
        <f>F44-F45-F46-F47</f>
        <v>65628879.598913573</v>
      </c>
      <c r="G48" s="226"/>
      <c r="H48" s="223"/>
      <c r="I48" s="207"/>
      <c r="J48" s="223"/>
      <c r="K48" s="223"/>
      <c r="L48" s="223"/>
      <c r="M48" s="223"/>
      <c r="N48" s="223"/>
      <c r="O48" s="223"/>
      <c r="P48" s="223"/>
      <c r="Q48" s="223"/>
      <c r="R48" s="1"/>
      <c r="S48" s="1"/>
    </row>
    <row r="49" spans="2:19">
      <c r="B49" s="1"/>
      <c r="C49" s="206"/>
      <c r="D49" s="207"/>
      <c r="E49" s="207"/>
      <c r="F49" s="225"/>
      <c r="G49" s="225"/>
      <c r="H49" s="208"/>
      <c r="I49" s="220"/>
      <c r="J49" s="220"/>
      <c r="K49" s="220"/>
      <c r="L49" s="220"/>
      <c r="M49" s="220"/>
      <c r="N49" s="220"/>
      <c r="O49" s="220"/>
      <c r="P49" s="220"/>
      <c r="Q49" s="220"/>
      <c r="R49" s="1"/>
      <c r="S49" s="1"/>
    </row>
    <row r="50" spans="2:19" ht="15.7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11"/>
      <c r="E50" s="211"/>
      <c r="F50" s="225"/>
      <c r="G50" s="225"/>
      <c r="H50" s="208"/>
      <c r="I50" s="220"/>
      <c r="J50" s="220"/>
      <c r="K50" s="220"/>
      <c r="L50" s="220"/>
      <c r="M50" s="220"/>
      <c r="N50" s="220"/>
      <c r="O50" s="220"/>
      <c r="P50" s="220"/>
      <c r="Q50" s="220"/>
      <c r="R50" s="1"/>
      <c r="S50" s="1"/>
    </row>
    <row r="51" spans="2:19">
      <c r="B51" s="1"/>
      <c r="C51" s="206"/>
      <c r="D51" s="211"/>
      <c r="E51" s="211"/>
      <c r="F51" s="225"/>
      <c r="G51" s="225"/>
      <c r="H51" s="208"/>
      <c r="I51" s="220"/>
      <c r="J51" s="220"/>
      <c r="K51" s="220"/>
      <c r="L51" s="220"/>
      <c r="M51" s="220"/>
      <c r="N51" s="220"/>
      <c r="O51" s="220"/>
      <c r="P51" s="220"/>
      <c r="Q51" s="220"/>
      <c r="R51" s="1"/>
      <c r="S51" s="1"/>
    </row>
    <row r="52" spans="2:19">
      <c r="B52" s="1"/>
      <c r="C52" s="206" t="str">
        <f>C48</f>
        <v xml:space="preserve">   Net Revenue Requirement, Less Return and Taxes</v>
      </c>
      <c r="D52" s="211"/>
      <c r="E52" s="211"/>
      <c r="F52" s="225">
        <f>F48</f>
        <v>65628879.598913573</v>
      </c>
      <c r="G52" s="225"/>
      <c r="H52" s="207"/>
      <c r="I52" s="207"/>
      <c r="J52" s="207"/>
      <c r="K52" s="207"/>
      <c r="L52" s="207"/>
      <c r="M52" s="207"/>
      <c r="N52" s="207"/>
      <c r="O52" s="207"/>
      <c r="P52" s="252"/>
      <c r="Q52" s="207"/>
      <c r="R52" s="1"/>
      <c r="S52" s="1"/>
    </row>
    <row r="53" spans="2:19">
      <c r="B53" s="1"/>
      <c r="C53" s="211" t="s">
        <v>103</v>
      </c>
      <c r="D53" s="2"/>
      <c r="E53" s="1"/>
      <c r="F53" s="243">
        <f>E26</f>
        <v>56742388.990244448</v>
      </c>
      <c r="G53" s="243"/>
      <c r="H53" s="1"/>
      <c r="I53" s="254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2:19" ht="12.75" customHeight="1">
      <c r="B54" s="1"/>
      <c r="C54" s="206" t="s">
        <v>26</v>
      </c>
      <c r="D54" s="207"/>
      <c r="E54" s="207"/>
      <c r="F54" s="307">
        <f>E37</f>
        <v>11315502.983400712</v>
      </c>
      <c r="G54" s="255"/>
      <c r="H54" s="1"/>
      <c r="I54" s="202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2:19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43">
        <f>SUM(F52:F54)</f>
        <v>133686771.57255875</v>
      </c>
      <c r="G55" s="243"/>
      <c r="H55" s="1"/>
      <c r="I55" s="202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19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56">
        <f>+F71</f>
        <v>0</v>
      </c>
      <c r="G56" s="243"/>
      <c r="H56" s="1"/>
      <c r="I56" s="202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19">
      <c r="B57" s="1"/>
      <c r="C57" s="1" t="s">
        <v>27</v>
      </c>
      <c r="D57" s="2"/>
      <c r="E57" s="1"/>
      <c r="F57" s="243">
        <f>+F55+F56</f>
        <v>133686771.57255875</v>
      </c>
      <c r="G57" s="243"/>
      <c r="H57" s="1"/>
      <c r="I57" s="202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19">
      <c r="B58" s="1"/>
      <c r="C58" s="206" t="str">
        <f>S121</f>
        <v xml:space="preserve">   Less: Depreciation  (TCOS, ln 86)</v>
      </c>
      <c r="D58" s="2"/>
      <c r="E58" s="1"/>
      <c r="F58" s="257">
        <f>R121</f>
        <v>30072817.744988333</v>
      </c>
      <c r="G58" s="257"/>
      <c r="H58" s="1"/>
      <c r="I58" s="202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19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43">
        <f>F57-F58</f>
        <v>103613953.82757041</v>
      </c>
      <c r="G59" s="243"/>
      <c r="H59" s="1"/>
      <c r="I59" s="202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19">
      <c r="B60" s="1"/>
      <c r="C60" s="1"/>
      <c r="D60" s="2"/>
      <c r="E60" s="1"/>
      <c r="F60" s="1"/>
      <c r="G60" s="1"/>
      <c r="H60" s="1"/>
      <c r="I60" s="202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2:19" ht="15.7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43"/>
      <c r="G61" s="243"/>
      <c r="H61" s="1"/>
      <c r="I61" s="202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19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43">
        <f>+F55</f>
        <v>133686771.57255875</v>
      </c>
      <c r="G62" s="243"/>
      <c r="H62" s="1"/>
      <c r="I62" s="202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19">
      <c r="B63" s="1"/>
      <c r="C63" s="1" t="s">
        <v>28</v>
      </c>
      <c r="F63" s="243"/>
      <c r="G63" s="243"/>
      <c r="H63" s="1"/>
      <c r="I63" s="202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19">
      <c r="B64" s="1"/>
      <c r="C64" s="1" t="str">
        <f>S122</f>
        <v xml:space="preserve">       Apportionment Factor to Texas (Worksheet K, ln 12)</v>
      </c>
      <c r="D64" s="2"/>
      <c r="E64" s="1"/>
      <c r="F64" s="259">
        <f>R122</f>
        <v>0</v>
      </c>
      <c r="G64" s="8"/>
      <c r="H64" s="1"/>
      <c r="I64" s="202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>
      <c r="B65" s="1"/>
      <c r="C65" s="1" t="s">
        <v>29</v>
      </c>
      <c r="D65" s="2"/>
      <c r="E65" s="1"/>
      <c r="F65" s="243">
        <f>+F64*F62</f>
        <v>0</v>
      </c>
      <c r="G65" s="243"/>
      <c r="H65" s="1"/>
      <c r="I65" s="202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>
      <c r="B66" s="1"/>
      <c r="C66" s="1" t="str">
        <f>+'PSO.WS.F.BPU.ATRR.Projected'!C66</f>
        <v xml:space="preserve">       Taxable Percentage of Revenue (22%)</v>
      </c>
      <c r="D66" s="2"/>
      <c r="E66" s="1"/>
      <c r="F66" s="260">
        <f>+'PSO.WS.F.BPU.ATRR.Projected'!F66</f>
        <v>0.22</v>
      </c>
      <c r="G66" s="308"/>
      <c r="H66" s="1"/>
      <c r="I66" s="202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>
      <c r="B67" s="1"/>
      <c r="C67" s="1" t="s">
        <v>30</v>
      </c>
      <c r="D67" s="2"/>
      <c r="E67" s="1"/>
      <c r="F67" s="243">
        <f>+F65*F66</f>
        <v>0</v>
      </c>
      <c r="G67" s="243"/>
      <c r="H67" s="1"/>
      <c r="I67" s="202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>
      <c r="B68" s="1"/>
      <c r="C68" s="1" t="s">
        <v>31</v>
      </c>
      <c r="D68" s="2"/>
      <c r="E68" s="1"/>
      <c r="F68" s="260">
        <v>0.01</v>
      </c>
      <c r="G68" s="308"/>
      <c r="H68" s="1"/>
      <c r="I68" s="202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>
      <c r="B69" s="1"/>
      <c r="C69" s="1" t="s">
        <v>32</v>
      </c>
      <c r="D69" s="2"/>
      <c r="E69" s="1"/>
      <c r="F69" s="243">
        <f>+F67*F68</f>
        <v>0</v>
      </c>
      <c r="G69" s="243"/>
      <c r="H69" s="1"/>
      <c r="I69" s="202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>
      <c r="B70" s="1"/>
      <c r="C70" s="1" t="s">
        <v>33</v>
      </c>
      <c r="D70" s="2"/>
      <c r="E70" s="1"/>
      <c r="F70" s="261">
        <f>+ROUND((F69*F66*F64)/(1-F68)*F68,0)</f>
        <v>0</v>
      </c>
      <c r="G70" s="309"/>
      <c r="H70" s="1"/>
      <c r="I70" s="202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>
      <c r="B71" s="1"/>
      <c r="C71" s="1" t="s">
        <v>34</v>
      </c>
      <c r="D71" s="2"/>
      <c r="E71" s="1"/>
      <c r="F71" s="243">
        <f>+F69+F70</f>
        <v>0</v>
      </c>
      <c r="G71" s="243"/>
      <c r="H71" s="1"/>
      <c r="I71" s="202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>
      <c r="B72" s="1"/>
      <c r="C72" s="1"/>
      <c r="D72" s="2"/>
      <c r="E72" s="1"/>
      <c r="F72" s="1"/>
      <c r="G72" s="1"/>
      <c r="H72" s="1"/>
      <c r="I72" s="202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7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1"/>
      <c r="I73" s="183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>
      <c r="B74" s="1"/>
      <c r="C74" s="1"/>
      <c r="D74" s="2"/>
      <c r="E74" s="1"/>
      <c r="F74" s="1"/>
      <c r="G74" s="1"/>
      <c r="H74" s="1"/>
      <c r="I74" s="202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>
      <c r="B75" s="1"/>
      <c r="C75" s="206" t="str">
        <f>S123</f>
        <v xml:space="preserve">   Net Transmission Plant  (TCOS, ln 37)</v>
      </c>
      <c r="D75" s="2"/>
      <c r="E75" s="1"/>
      <c r="F75" s="243">
        <f>R123</f>
        <v>866184689.61230779</v>
      </c>
      <c r="G75" s="243"/>
      <c r="I75" s="183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2:19" ht="15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310">
        <f>+F57</f>
        <v>133686771.57255875</v>
      </c>
      <c r="G76" s="310"/>
      <c r="I76" s="183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2:19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0.15433979978611154</v>
      </c>
      <c r="G77" s="8"/>
      <c r="I77" s="183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2:19">
      <c r="B78" s="1"/>
      <c r="D78" s="2"/>
      <c r="E78" s="1"/>
      <c r="F78" s="1"/>
      <c r="G78" s="1"/>
      <c r="H78" s="311"/>
      <c r="I78" s="183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2:19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43">
        <f>+F59</f>
        <v>103613953.82757041</v>
      </c>
      <c r="G79" s="243"/>
      <c r="I79" s="183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2:19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</f>
        <v>0.11962108666911045</v>
      </c>
      <c r="G80" s="8"/>
      <c r="H80" s="204"/>
      <c r="I80" s="183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2:19">
      <c r="B81" s="1"/>
      <c r="C81" s="206" t="str">
        <f>S124</f>
        <v xml:space="preserve">   FCR less Depreciation  (TCOS, ln 10)</v>
      </c>
      <c r="D81" s="2"/>
      <c r="E81" s="1"/>
      <c r="F81" s="262">
        <f>R124</f>
        <v>0.11962108666911044</v>
      </c>
      <c r="G81" s="262"/>
      <c r="H81" s="312"/>
      <c r="I81" s="183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2:19">
      <c r="B82" s="1"/>
      <c r="C82" s="1" t="str">
        <f>"   Incremental FCR with "&amp;F13&amp;" Basis Point ROE increase, less Depreciation"</f>
        <v xml:space="preserve">   Incremental FCR with 0 Basis Point ROE increase, less Depreciation</v>
      </c>
      <c r="D82" s="2"/>
      <c r="E82" s="1"/>
      <c r="F82" s="8">
        <f>F80-F81</f>
        <v>0</v>
      </c>
      <c r="G82" s="8"/>
      <c r="I82" s="183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2:19">
      <c r="B83" s="1"/>
      <c r="C83" s="1"/>
      <c r="D83" s="2"/>
      <c r="E83" s="1"/>
      <c r="F83" s="8"/>
      <c r="G83" s="8"/>
      <c r="H83" s="1"/>
      <c r="I83" s="202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.75">
      <c r="B84" s="4" t="s">
        <v>35</v>
      </c>
      <c r="C84" s="10" t="s">
        <v>36</v>
      </c>
      <c r="D84" s="2"/>
      <c r="E84" s="1"/>
      <c r="F84" s="8"/>
      <c r="G84" s="8"/>
      <c r="H84" s="1"/>
      <c r="I84" s="202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8"/>
      <c r="H85" s="1"/>
      <c r="I85" s="202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37</v>
      </c>
      <c r="D86" s="2"/>
      <c r="F86" s="258">
        <f>R125</f>
        <v>1345242710.0799997</v>
      </c>
      <c r="G86" s="1" t="s">
        <v>278</v>
      </c>
      <c r="I86" s="202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38</v>
      </c>
      <c r="D87" s="2"/>
      <c r="F87" s="263">
        <f>R126</f>
        <v>1443359192.4199998</v>
      </c>
      <c r="G87" s="1" t="s">
        <v>278</v>
      </c>
      <c r="I87" s="202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 ht="12.75" customHeight="1">
      <c r="B88" s="4"/>
      <c r="C88" s="1"/>
      <c r="D88" s="2"/>
      <c r="F88" s="202">
        <f>+F87+F86</f>
        <v>2788601902.4999995</v>
      </c>
      <c r="G88" s="202"/>
      <c r="H88" s="1"/>
      <c r="I88" s="202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>
      <c r="B89" s="1"/>
      <c r="C89" s="1" t="str">
        <f>+S127</f>
        <v>Transmission Plant Average Balance for 2024 (WS A-1 Ln 14 Col (d))</v>
      </c>
      <c r="D89" s="2"/>
      <c r="F89" s="254">
        <f>+F88/2</f>
        <v>1394300951.2499998</v>
      </c>
      <c r="G89" s="254"/>
      <c r="I89" s="202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>
      <c r="B90" s="1"/>
      <c r="C90" s="206" t="str">
        <f>S128</f>
        <v>Annual Depreciation Expense  (TCOS, ln 86)</v>
      </c>
      <c r="D90" s="2"/>
      <c r="E90" s="1"/>
      <c r="F90" s="254">
        <f>R128</f>
        <v>37939199</v>
      </c>
      <c r="G90" s="254"/>
      <c r="I90" s="202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>
      <c r="B91" s="1"/>
      <c r="C91" s="1" t="s">
        <v>39</v>
      </c>
      <c r="D91" s="2"/>
      <c r="E91" s="1"/>
      <c r="F91" s="8">
        <f>IF(F89=0,0,F90/F89)</f>
        <v>2.7210193728970253E-2</v>
      </c>
      <c r="G91" s="8"/>
      <c r="H91" s="1"/>
      <c r="I91" s="265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>
      <c r="B92" s="1"/>
      <c r="C92" s="1" t="s">
        <v>40</v>
      </c>
      <c r="D92" s="2"/>
      <c r="E92" s="1"/>
      <c r="F92" s="265">
        <f>IF(F91=0,0,1/F91)</f>
        <v>36.750932755591379</v>
      </c>
      <c r="G92" s="265"/>
      <c r="H92" s="1"/>
      <c r="I92" s="202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>
      <c r="B93" s="1"/>
      <c r="C93" s="1" t="s">
        <v>41</v>
      </c>
      <c r="D93" s="2"/>
      <c r="E93" s="1"/>
      <c r="F93" s="12">
        <f>ROUND(F92,0)</f>
        <v>37</v>
      </c>
      <c r="G93" s="12"/>
      <c r="H93" s="1"/>
      <c r="I93" s="202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>
      <c r="B94" s="1"/>
      <c r="C94" s="1"/>
      <c r="D94" s="2"/>
      <c r="E94" s="1"/>
      <c r="F94" s="12"/>
      <c r="G94" s="12"/>
      <c r="H94" s="1"/>
      <c r="I94" s="202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2:19">
      <c r="B95" s="1"/>
      <c r="C95" s="1"/>
      <c r="D95" s="2"/>
      <c r="E95" s="1"/>
      <c r="F95" s="12"/>
      <c r="G95" s="12"/>
      <c r="H95" s="1"/>
      <c r="I95" s="202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2:19">
      <c r="B96" s="1"/>
      <c r="C96" s="1"/>
      <c r="D96" s="2"/>
      <c r="E96" s="1"/>
      <c r="F96" s="12"/>
      <c r="G96" s="12"/>
      <c r="H96" s="1"/>
      <c r="I96" s="202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3:19">
      <c r="C97" s="1"/>
      <c r="D97" s="2"/>
      <c r="E97" s="1"/>
      <c r="F97" s="1"/>
      <c r="G97" s="1"/>
      <c r="H97" s="1"/>
      <c r="I97" s="202"/>
      <c r="J97" s="1"/>
      <c r="K97" s="1"/>
      <c r="L97" s="1"/>
      <c r="M97" s="1"/>
      <c r="N97" s="1"/>
      <c r="O97" s="1"/>
      <c r="P97" s="1"/>
      <c r="Q97" s="1"/>
      <c r="R97" s="267" t="s">
        <v>126</v>
      </c>
      <c r="S97" s="196" t="s">
        <v>132</v>
      </c>
    </row>
    <row r="98" spans="3:19">
      <c r="C98" s="1"/>
      <c r="D98" s="2"/>
      <c r="E98" s="1"/>
      <c r="F98" s="1"/>
      <c r="G98" s="1"/>
      <c r="H98" s="1"/>
      <c r="I98" s="202"/>
      <c r="J98" s="1"/>
      <c r="K98" s="1"/>
      <c r="L98" s="1"/>
      <c r="M98" s="1"/>
      <c r="N98" s="1"/>
      <c r="O98" s="1"/>
      <c r="P98" s="1"/>
      <c r="Q98" s="1"/>
    </row>
    <row r="99" spans="3:19">
      <c r="C99" s="91" t="s">
        <v>122</v>
      </c>
      <c r="L99" s="91" t="s">
        <v>121</v>
      </c>
      <c r="N99" s="1"/>
      <c r="O99" s="1"/>
      <c r="P99" s="1"/>
      <c r="Q99" s="1"/>
    </row>
    <row r="100" spans="3:19">
      <c r="C100" s="1"/>
      <c r="D100" s="2"/>
      <c r="E100" s="1"/>
      <c r="F100" s="1"/>
      <c r="G100" s="1"/>
      <c r="H100" s="1"/>
      <c r="I100" s="202"/>
      <c r="J100" s="1"/>
      <c r="K100" s="1"/>
      <c r="L100" s="1"/>
      <c r="M100" s="1"/>
      <c r="N100" s="1"/>
      <c r="O100" s="1"/>
      <c r="P100" s="1"/>
      <c r="Q100" s="1"/>
      <c r="S100" s="196" t="s">
        <v>119</v>
      </c>
    </row>
    <row r="101" spans="3:19">
      <c r="C101" s="1"/>
      <c r="D101" s="2"/>
      <c r="E101" s="1"/>
      <c r="F101" s="1"/>
      <c r="G101" s="1"/>
      <c r="H101" s="1"/>
      <c r="I101" s="202"/>
      <c r="J101" s="1"/>
      <c r="K101" s="1"/>
      <c r="L101" s="1"/>
      <c r="M101" s="1"/>
      <c r="N101" s="1"/>
      <c r="O101" s="1"/>
      <c r="P101" s="1"/>
      <c r="Q101" s="1"/>
      <c r="R101" s="267" t="s">
        <v>115</v>
      </c>
      <c r="S101" s="170" t="s">
        <v>135</v>
      </c>
    </row>
    <row r="102" spans="3:19" ht="13.5" thickBot="1">
      <c r="C102" s="1"/>
      <c r="D102" s="2"/>
      <c r="E102" s="1"/>
      <c r="F102" s="1"/>
      <c r="G102" s="1"/>
      <c r="H102" s="1"/>
      <c r="I102" s="202"/>
      <c r="J102" s="1"/>
      <c r="K102" s="1"/>
      <c r="L102" s="1"/>
      <c r="M102" s="1"/>
      <c r="N102" s="1"/>
      <c r="O102" s="1"/>
      <c r="P102" s="1"/>
      <c r="Q102" s="1"/>
      <c r="R102" s="268" t="s">
        <v>227</v>
      </c>
    </row>
    <row r="103" spans="3:19">
      <c r="C103" s="1"/>
      <c r="D103" s="2"/>
      <c r="E103" s="1"/>
      <c r="F103" s="1"/>
      <c r="G103" s="1"/>
      <c r="H103" s="1"/>
      <c r="I103" s="202"/>
      <c r="J103" s="1"/>
      <c r="K103" s="1"/>
      <c r="L103" s="1"/>
      <c r="M103" s="1"/>
      <c r="N103" s="1"/>
      <c r="O103" s="1"/>
      <c r="P103" s="1"/>
      <c r="Q103" s="1"/>
      <c r="R103" s="313" t="s">
        <v>212</v>
      </c>
      <c r="S103" s="314" t="s">
        <v>143</v>
      </c>
    </row>
    <row r="104" spans="3:19">
      <c r="C104" s="1"/>
      <c r="D104" s="2"/>
      <c r="E104" s="1"/>
      <c r="F104" s="1"/>
      <c r="G104" s="1"/>
      <c r="H104" s="1"/>
      <c r="I104" s="202"/>
      <c r="J104" s="1"/>
      <c r="K104" s="1"/>
      <c r="L104" s="1"/>
      <c r="M104" s="1"/>
      <c r="N104" s="1"/>
      <c r="O104" s="1"/>
      <c r="P104" s="1"/>
      <c r="Q104" s="1"/>
      <c r="R104" s="315">
        <v>2025</v>
      </c>
      <c r="S104" s="228" t="s">
        <v>94</v>
      </c>
    </row>
    <row r="105" spans="3:19">
      <c r="C105" s="1"/>
      <c r="D105" s="2"/>
      <c r="E105" s="1"/>
      <c r="F105" s="1"/>
      <c r="G105" s="1"/>
      <c r="H105" s="1"/>
      <c r="I105" s="202"/>
      <c r="J105" s="1"/>
      <c r="K105" s="1"/>
      <c r="L105" s="1"/>
      <c r="M105" s="1"/>
      <c r="N105" s="1"/>
      <c r="O105" s="1"/>
      <c r="P105" s="1"/>
      <c r="Q105" s="1"/>
      <c r="R105" s="316">
        <v>0.105</v>
      </c>
      <c r="S105" s="272" t="s">
        <v>349</v>
      </c>
    </row>
    <row r="106" spans="3:19">
      <c r="C106" s="1"/>
      <c r="D106" s="2"/>
      <c r="E106" s="1"/>
      <c r="F106" s="1"/>
      <c r="G106" s="1"/>
      <c r="H106" s="1"/>
      <c r="I106" s="202"/>
      <c r="J106" s="1"/>
      <c r="K106" s="1"/>
      <c r="L106" s="1"/>
      <c r="M106" s="1"/>
      <c r="N106" s="1"/>
      <c r="O106" s="1"/>
      <c r="P106" s="1"/>
      <c r="Q106" s="1"/>
      <c r="R106" s="317">
        <v>0</v>
      </c>
      <c r="S106" s="272" t="s">
        <v>1</v>
      </c>
    </row>
    <row r="107" spans="3:19">
      <c r="C107" s="1"/>
      <c r="D107" s="2"/>
      <c r="E107" s="1"/>
      <c r="F107" s="1"/>
      <c r="G107" s="1"/>
      <c r="H107" s="1"/>
      <c r="I107" s="202"/>
      <c r="J107" s="1"/>
      <c r="K107" s="1"/>
      <c r="L107" s="1"/>
      <c r="M107" s="1"/>
      <c r="N107" s="1"/>
      <c r="O107" s="1"/>
      <c r="P107" s="1"/>
      <c r="Q107" s="1"/>
      <c r="R107" s="316">
        <v>0.50638477185040831</v>
      </c>
      <c r="S107" s="275" t="s">
        <v>109</v>
      </c>
    </row>
    <row r="108" spans="3:19">
      <c r="C108" s="1"/>
      <c r="D108" s="2"/>
      <c r="E108" s="1"/>
      <c r="F108" s="1"/>
      <c r="G108" s="1"/>
      <c r="H108" s="1"/>
      <c r="I108" s="202"/>
      <c r="J108" s="1"/>
      <c r="K108" s="1"/>
      <c r="L108" s="1"/>
      <c r="M108" s="1"/>
      <c r="N108" s="1"/>
      <c r="O108" s="1"/>
      <c r="P108" s="1"/>
      <c r="Q108" s="1"/>
      <c r="R108" s="318">
        <v>4.5340199690810989E-2</v>
      </c>
      <c r="S108" s="275" t="s">
        <v>110</v>
      </c>
    </row>
    <row r="109" spans="3:19">
      <c r="C109" s="1"/>
      <c r="D109" s="2"/>
      <c r="E109" s="1"/>
      <c r="F109" s="1"/>
      <c r="G109" s="1"/>
      <c r="H109" s="1"/>
      <c r="I109" s="202"/>
      <c r="J109" s="1"/>
      <c r="K109" s="1"/>
      <c r="L109" s="1"/>
      <c r="M109" s="1"/>
      <c r="N109" s="1"/>
      <c r="O109" s="1"/>
      <c r="P109" s="1"/>
      <c r="Q109" s="1"/>
      <c r="R109" s="316">
        <v>0</v>
      </c>
      <c r="S109" s="275" t="s">
        <v>111</v>
      </c>
    </row>
    <row r="110" spans="3:19">
      <c r="C110" s="1"/>
      <c r="D110" s="2"/>
      <c r="E110" s="1"/>
      <c r="F110" s="1"/>
      <c r="G110" s="1"/>
      <c r="H110" s="1"/>
      <c r="I110" s="202"/>
      <c r="J110" s="1"/>
      <c r="K110" s="1"/>
      <c r="L110" s="1"/>
      <c r="M110" s="1"/>
      <c r="N110" s="1"/>
      <c r="O110" s="1"/>
      <c r="P110" s="1"/>
      <c r="Q110" s="1"/>
      <c r="R110" s="318">
        <v>0</v>
      </c>
      <c r="S110" s="275" t="s">
        <v>112</v>
      </c>
    </row>
    <row r="111" spans="3:19">
      <c r="C111" s="1"/>
      <c r="D111" s="2"/>
      <c r="E111" s="1"/>
      <c r="F111" s="1"/>
      <c r="G111" s="1"/>
      <c r="H111" s="1"/>
      <c r="I111" s="202"/>
      <c r="J111" s="1"/>
      <c r="K111" s="1"/>
      <c r="L111" s="1"/>
      <c r="M111" s="1"/>
      <c r="N111" s="1"/>
      <c r="O111" s="1"/>
      <c r="P111" s="1"/>
      <c r="Q111" s="1"/>
      <c r="R111" s="316">
        <v>0.49361522814959163</v>
      </c>
      <c r="S111" s="276" t="s">
        <v>113</v>
      </c>
    </row>
    <row r="112" spans="3:19">
      <c r="C112" s="1"/>
      <c r="D112" s="2"/>
      <c r="E112" s="1"/>
      <c r="F112" s="1"/>
      <c r="G112" s="1"/>
      <c r="H112" s="1"/>
      <c r="I112" s="202"/>
      <c r="J112" s="1"/>
      <c r="K112" s="1"/>
      <c r="L112" s="1"/>
      <c r="M112" s="1"/>
      <c r="N112" s="1"/>
      <c r="O112" s="1"/>
      <c r="P112" s="1"/>
      <c r="Q112" s="1"/>
      <c r="R112" s="277">
        <v>758697778.4409132</v>
      </c>
      <c r="S112" s="319" t="s">
        <v>350</v>
      </c>
    </row>
    <row r="113" spans="3:19">
      <c r="C113" s="1"/>
      <c r="D113" s="2"/>
      <c r="E113" s="1"/>
      <c r="F113" s="1"/>
      <c r="G113" s="1"/>
      <c r="H113" s="1"/>
      <c r="I113" s="202"/>
      <c r="J113" s="1"/>
      <c r="K113" s="1"/>
      <c r="L113" s="1"/>
      <c r="M113" s="1"/>
      <c r="N113" s="1"/>
      <c r="O113" s="1"/>
      <c r="P113" s="1"/>
      <c r="Q113" s="1"/>
      <c r="R113" s="279">
        <v>0.24088900000000002</v>
      </c>
      <c r="S113" s="320" t="s">
        <v>351</v>
      </c>
    </row>
    <row r="114" spans="3:19">
      <c r="C114" s="1"/>
      <c r="D114" s="2"/>
      <c r="E114" s="1"/>
      <c r="F114" s="1"/>
      <c r="G114" s="1"/>
      <c r="H114" s="1"/>
      <c r="I114" s="202"/>
      <c r="J114" s="1"/>
      <c r="K114" s="1"/>
      <c r="L114" s="1"/>
      <c r="M114" s="1"/>
      <c r="N114" s="1"/>
      <c r="O114" s="1"/>
      <c r="P114" s="1"/>
      <c r="Q114" s="1"/>
      <c r="R114" s="277">
        <v>54046.411741842378</v>
      </c>
      <c r="S114" s="320" t="s">
        <v>352</v>
      </c>
    </row>
    <row r="115" spans="3:19">
      <c r="C115" s="1"/>
      <c r="D115" s="2"/>
      <c r="E115" s="1"/>
      <c r="F115" s="1"/>
      <c r="G115" s="1"/>
      <c r="H115" s="1"/>
      <c r="I115" s="202"/>
      <c r="J115" s="1"/>
      <c r="K115" s="1"/>
      <c r="L115" s="1"/>
      <c r="M115" s="1"/>
      <c r="N115" s="1"/>
      <c r="O115" s="1"/>
      <c r="P115" s="1"/>
      <c r="Q115" s="1"/>
      <c r="R115" s="277">
        <v>-1342300.2026314705</v>
      </c>
      <c r="S115" s="321" t="s">
        <v>312</v>
      </c>
    </row>
    <row r="116" spans="3:19">
      <c r="C116" s="1"/>
      <c r="D116" s="2"/>
      <c r="E116" s="1"/>
      <c r="F116" s="1"/>
      <c r="G116" s="1"/>
      <c r="H116" s="1"/>
      <c r="I116" s="202"/>
      <c r="J116" s="1"/>
      <c r="K116" s="1"/>
      <c r="L116" s="1"/>
      <c r="M116" s="1"/>
      <c r="N116" s="1"/>
      <c r="O116" s="1"/>
      <c r="P116" s="1"/>
      <c r="Q116" s="1"/>
      <c r="R116" s="277">
        <v>125372.81087516515</v>
      </c>
      <c r="S116" s="321" t="s">
        <v>313</v>
      </c>
    </row>
    <row r="117" spans="3:19">
      <c r="C117" s="1"/>
      <c r="D117" s="2"/>
      <c r="E117" s="1"/>
      <c r="F117" s="1"/>
      <c r="G117" s="1"/>
      <c r="H117" s="1"/>
      <c r="I117" s="202"/>
      <c r="J117" s="1"/>
      <c r="K117" s="1"/>
      <c r="L117" s="1"/>
      <c r="M117" s="1"/>
      <c r="N117" s="1"/>
      <c r="O117" s="1"/>
      <c r="P117" s="1"/>
      <c r="Q117" s="1"/>
      <c r="R117" s="277">
        <v>133686771.57255873</v>
      </c>
      <c r="S117" s="320" t="s">
        <v>353</v>
      </c>
    </row>
    <row r="118" spans="3:19">
      <c r="C118" s="1"/>
      <c r="D118" s="2"/>
      <c r="E118" s="1"/>
      <c r="F118" s="1"/>
      <c r="G118" s="1"/>
      <c r="H118" s="1"/>
      <c r="I118" s="202"/>
      <c r="J118" s="1"/>
      <c r="K118" s="1"/>
      <c r="L118" s="1"/>
      <c r="M118" s="1"/>
      <c r="N118" s="1"/>
      <c r="O118" s="1"/>
      <c r="P118" s="1"/>
      <c r="Q118" s="1"/>
      <c r="R118" s="277">
        <v>56742388.990244448</v>
      </c>
      <c r="S118" s="320" t="s">
        <v>354</v>
      </c>
    </row>
    <row r="119" spans="3:19">
      <c r="C119" s="1"/>
      <c r="D119" s="2"/>
      <c r="E119" s="1"/>
      <c r="F119" s="1"/>
      <c r="G119" s="1"/>
      <c r="H119" s="1"/>
      <c r="I119" s="202"/>
      <c r="J119" s="1"/>
      <c r="K119" s="1"/>
      <c r="L119" s="1"/>
      <c r="M119" s="1"/>
      <c r="N119" s="1"/>
      <c r="O119" s="1"/>
      <c r="P119" s="1"/>
      <c r="Q119" s="1"/>
      <c r="R119" s="277">
        <v>11315502.983400712</v>
      </c>
      <c r="S119" s="320" t="s">
        <v>355</v>
      </c>
    </row>
    <row r="120" spans="3:19">
      <c r="C120" s="1"/>
      <c r="D120" s="2"/>
      <c r="E120" s="1"/>
      <c r="F120" s="1"/>
      <c r="G120" s="1"/>
      <c r="H120" s="1"/>
      <c r="I120" s="202"/>
      <c r="J120" s="1"/>
      <c r="K120" s="1"/>
      <c r="L120" s="1"/>
      <c r="M120" s="1"/>
      <c r="N120" s="1"/>
      <c r="O120" s="1"/>
      <c r="P120" s="1"/>
      <c r="Q120" s="1"/>
      <c r="R120" s="277">
        <v>0</v>
      </c>
      <c r="S120" s="320" t="s">
        <v>356</v>
      </c>
    </row>
    <row r="121" spans="3:19">
      <c r="C121" s="1"/>
      <c r="D121" s="2"/>
      <c r="E121" s="1"/>
      <c r="F121" s="1"/>
      <c r="G121" s="1"/>
      <c r="H121" s="1"/>
      <c r="I121" s="202"/>
      <c r="J121" s="1"/>
      <c r="K121" s="1"/>
      <c r="L121" s="1"/>
      <c r="M121" s="1"/>
      <c r="N121" s="1"/>
      <c r="O121" s="1"/>
      <c r="P121" s="1"/>
      <c r="Q121" s="1"/>
      <c r="R121" s="277">
        <v>30072817.744988333</v>
      </c>
      <c r="S121" s="320" t="s">
        <v>357</v>
      </c>
    </row>
    <row r="122" spans="3:19">
      <c r="C122" s="1"/>
      <c r="D122" s="2"/>
      <c r="E122" s="1"/>
      <c r="F122" s="1"/>
      <c r="G122" s="1"/>
      <c r="H122" s="1"/>
      <c r="I122" s="202"/>
      <c r="J122" s="1"/>
      <c r="K122" s="1"/>
      <c r="L122" s="1"/>
      <c r="M122" s="1"/>
      <c r="N122" s="1"/>
      <c r="O122" s="1"/>
      <c r="P122" s="1"/>
      <c r="Q122" s="1"/>
      <c r="R122" s="279">
        <v>0</v>
      </c>
      <c r="S122" s="320" t="s">
        <v>118</v>
      </c>
    </row>
    <row r="123" spans="3:19">
      <c r="C123" s="1"/>
      <c r="D123" s="2"/>
      <c r="E123" s="1"/>
      <c r="F123" s="1"/>
      <c r="G123" s="1"/>
      <c r="H123" s="1"/>
      <c r="I123" s="202"/>
      <c r="J123" s="1"/>
      <c r="K123" s="1"/>
      <c r="L123" s="1"/>
      <c r="M123" s="1"/>
      <c r="N123" s="1"/>
      <c r="O123" s="1"/>
      <c r="P123" s="1"/>
      <c r="Q123" s="1"/>
      <c r="R123" s="277">
        <v>866184689.61230779</v>
      </c>
      <c r="S123" s="320" t="s">
        <v>324</v>
      </c>
    </row>
    <row r="124" spans="3:19">
      <c r="C124" s="1"/>
      <c r="D124" s="2"/>
      <c r="E124" s="1"/>
      <c r="F124" s="1"/>
      <c r="G124" s="1"/>
      <c r="H124" s="1"/>
      <c r="I124" s="202"/>
      <c r="J124" s="1"/>
      <c r="K124" s="1"/>
      <c r="L124" s="1"/>
      <c r="M124" s="1"/>
      <c r="N124" s="1"/>
      <c r="O124" s="1"/>
      <c r="P124" s="1"/>
      <c r="Q124" s="1"/>
      <c r="R124" s="279">
        <v>0.11962108666911044</v>
      </c>
      <c r="S124" s="282" t="s">
        <v>358</v>
      </c>
    </row>
    <row r="125" spans="3:19">
      <c r="C125" s="1"/>
      <c r="D125" s="2"/>
      <c r="E125" s="1"/>
      <c r="F125" s="1"/>
      <c r="G125" s="1"/>
      <c r="H125" s="1"/>
      <c r="I125" s="202"/>
      <c r="J125" s="1"/>
      <c r="K125" s="1"/>
      <c r="L125" s="1"/>
      <c r="M125" s="1"/>
      <c r="N125" s="1"/>
      <c r="O125" s="1"/>
      <c r="P125" s="1"/>
      <c r="Q125" s="1"/>
      <c r="R125" s="447">
        <v>1345242710.0799997</v>
      </c>
      <c r="S125" s="275" t="s">
        <v>37</v>
      </c>
    </row>
    <row r="126" spans="3:19">
      <c r="C126" s="1"/>
      <c r="D126" s="2"/>
      <c r="E126" s="1"/>
      <c r="F126" s="1"/>
      <c r="G126" s="1"/>
      <c r="H126" s="1"/>
      <c r="I126" s="202"/>
      <c r="J126" s="1"/>
      <c r="K126" s="1"/>
      <c r="L126" s="1"/>
      <c r="M126" s="1"/>
      <c r="N126" s="1"/>
      <c r="O126" s="1"/>
      <c r="P126" s="1"/>
      <c r="Q126" s="1"/>
      <c r="R126" s="448">
        <v>1443359192.4199998</v>
      </c>
      <c r="S126" s="276" t="s">
        <v>38</v>
      </c>
    </row>
    <row r="127" spans="3:19">
      <c r="C127" s="1"/>
      <c r="D127" s="2"/>
      <c r="E127" s="1"/>
      <c r="F127" s="1"/>
      <c r="G127" s="1"/>
      <c r="H127" s="1"/>
      <c r="I127" s="202"/>
      <c r="J127" s="1"/>
      <c r="K127" s="1"/>
      <c r="L127" s="1"/>
      <c r="M127" s="1"/>
      <c r="N127" s="1"/>
      <c r="O127" s="1"/>
      <c r="P127" s="1"/>
      <c r="Q127" s="1"/>
      <c r="R127" s="322">
        <v>1376139961.2669232</v>
      </c>
      <c r="S127" s="284" t="s">
        <v>384</v>
      </c>
    </row>
    <row r="128" spans="3:19" ht="13.5" thickBot="1">
      <c r="C128" s="1"/>
      <c r="D128" s="2"/>
      <c r="E128" s="1"/>
      <c r="F128" s="1"/>
      <c r="G128" s="1"/>
      <c r="H128" s="1"/>
      <c r="I128" s="202"/>
      <c r="J128" s="1"/>
      <c r="K128" s="1"/>
      <c r="L128" s="1"/>
      <c r="M128" s="1"/>
      <c r="N128" s="1"/>
      <c r="O128" s="1"/>
      <c r="P128" s="1"/>
      <c r="Q128" s="1"/>
      <c r="R128" s="323">
        <v>37939199</v>
      </c>
      <c r="S128" s="285" t="s">
        <v>359</v>
      </c>
    </row>
    <row r="129" spans="3:19">
      <c r="C129" s="1"/>
      <c r="D129" s="2"/>
      <c r="E129" s="1"/>
      <c r="F129" s="1"/>
      <c r="G129" s="1"/>
      <c r="H129" s="1"/>
      <c r="I129" s="202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3:19">
      <c r="C130" s="1"/>
      <c r="D130" s="2"/>
      <c r="E130" s="1"/>
      <c r="F130" s="1"/>
      <c r="G130" s="1"/>
      <c r="H130" s="1"/>
      <c r="I130" s="202"/>
      <c r="J130" s="1"/>
      <c r="K130" s="1"/>
      <c r="L130" s="1"/>
      <c r="M130" s="1"/>
      <c r="N130" s="1"/>
      <c r="O130" s="1"/>
      <c r="P130" s="1"/>
      <c r="Q130" s="1"/>
      <c r="R130" s="267" t="s">
        <v>116</v>
      </c>
      <c r="S130" s="1" t="s">
        <v>130</v>
      </c>
    </row>
    <row r="131" spans="3:19" ht="13.5" thickBot="1">
      <c r="C131" s="1"/>
      <c r="D131" s="2"/>
      <c r="E131" s="1"/>
      <c r="F131" s="1"/>
      <c r="G131" s="1"/>
      <c r="H131" s="1"/>
      <c r="I131" s="202"/>
      <c r="J131" s="1"/>
      <c r="K131" s="1"/>
      <c r="L131" s="1"/>
      <c r="M131" s="1"/>
      <c r="N131" s="1"/>
      <c r="O131" s="1"/>
      <c r="P131" s="1"/>
      <c r="Q131" s="1"/>
      <c r="R131" s="268" t="s">
        <v>134</v>
      </c>
      <c r="S131" s="1"/>
    </row>
    <row r="132" spans="3:19">
      <c r="C132" s="1"/>
      <c r="D132" s="2"/>
      <c r="E132" s="1"/>
      <c r="F132" s="1"/>
      <c r="G132" s="1"/>
      <c r="H132" s="1"/>
      <c r="I132" s="202"/>
      <c r="J132" s="1"/>
      <c r="K132" s="1"/>
      <c r="L132" s="1"/>
      <c r="M132" s="1"/>
      <c r="N132" s="1"/>
      <c r="O132" s="1"/>
      <c r="P132" s="1"/>
      <c r="Q132" s="1"/>
      <c r="R132" s="286">
        <f>+N17</f>
        <v>9807391.5524433423</v>
      </c>
      <c r="S132" t="s">
        <v>136</v>
      </c>
    </row>
    <row r="133" spans="3:19">
      <c r="C133" s="1"/>
      <c r="D133" s="2"/>
      <c r="E133" s="1"/>
      <c r="F133" s="1"/>
      <c r="G133" s="1"/>
      <c r="H133" s="1"/>
      <c r="I133" s="202"/>
      <c r="J133" s="1"/>
      <c r="K133" s="1"/>
      <c r="L133" s="1"/>
      <c r="M133" s="1"/>
      <c r="N133" s="1"/>
      <c r="O133" s="1"/>
      <c r="P133" s="1"/>
      <c r="Q133" s="1"/>
      <c r="R133" s="287">
        <f>+O17</f>
        <v>9807391.5524433423</v>
      </c>
      <c r="S133" t="s">
        <v>137</v>
      </c>
    </row>
    <row r="134" spans="3:19">
      <c r="C134" s="1"/>
      <c r="D134" s="2"/>
      <c r="E134" s="1"/>
      <c r="F134" s="1"/>
      <c r="G134" s="1"/>
      <c r="H134" s="1"/>
      <c r="I134" s="202"/>
      <c r="J134" s="1"/>
      <c r="K134" s="1"/>
      <c r="L134" s="1"/>
      <c r="M134" s="1"/>
      <c r="N134" s="1"/>
      <c r="O134" s="1"/>
      <c r="P134" s="1"/>
      <c r="Q134" s="1"/>
      <c r="R134" s="350">
        <f>+N18</f>
        <v>10195656.168006718</v>
      </c>
      <c r="S134" t="s">
        <v>138</v>
      </c>
    </row>
    <row r="135" spans="3:19" ht="13.5" thickBot="1">
      <c r="C135" s="1"/>
      <c r="D135" s="2"/>
      <c r="E135" s="1"/>
      <c r="F135" s="1"/>
      <c r="G135" s="1"/>
      <c r="H135" s="1"/>
      <c r="I135" s="202"/>
      <c r="J135" s="1"/>
      <c r="K135" s="1"/>
      <c r="L135" s="1"/>
      <c r="M135" s="1"/>
      <c r="N135" s="1"/>
      <c r="O135" s="1"/>
      <c r="P135" s="1"/>
      <c r="Q135" s="1"/>
      <c r="R135" s="288">
        <f>+O18</f>
        <v>10195656.168006718</v>
      </c>
      <c r="S135" t="s">
        <v>139</v>
      </c>
    </row>
    <row r="136" spans="3:19" ht="12.75" customHeight="1">
      <c r="R136" s="1"/>
      <c r="S136" s="1"/>
    </row>
    <row r="137" spans="3:19" ht="12.75" customHeight="1">
      <c r="R137" s="267" t="s">
        <v>128</v>
      </c>
      <c r="S137" s="196" t="s">
        <v>133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PSO TCOS - WS G
Page: &amp;P of &amp;N
</oddHeader>
    <oddFooter xml:space="preserve">&amp;C &amp;R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162"/>
  <sheetViews>
    <sheetView zoomScale="85" zoomScaleNormal="85" workbookViewId="0">
      <selection activeCell="E112" sqref="E112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27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631882.83500009484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631882.83500009484</v>
      </c>
      <c r="O6" s="1"/>
      <c r="P6" s="1"/>
    </row>
    <row r="7" spans="1:16" ht="13.5" thickBot="1">
      <c r="C7" s="26" t="s">
        <v>46</v>
      </c>
      <c r="D7" s="437" t="s">
        <v>328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330</v>
      </c>
      <c r="E9" s="404" t="s">
        <v>380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5058588.62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2019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3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133120.75315789474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2019</v>
      </c>
      <c r="D17" s="439">
        <v>0</v>
      </c>
      <c r="E17" s="440">
        <v>0</v>
      </c>
      <c r="F17" s="441">
        <v>4120000</v>
      </c>
      <c r="G17" s="440">
        <v>230012.66047295602</v>
      </c>
      <c r="H17" s="442">
        <v>230012.66047295602</v>
      </c>
      <c r="I17" s="52">
        <f>H17-G17</f>
        <v>0</v>
      </c>
      <c r="J17" s="52"/>
      <c r="K17" s="117">
        <f t="shared" ref="K17:K22" si="0">+G17</f>
        <v>230012.66047295602</v>
      </c>
      <c r="L17" s="53">
        <f t="shared" ref="L17:L18" si="1">IF(K17&lt;&gt;0,+G17-K17,0)</f>
        <v>0</v>
      </c>
      <c r="M17" s="117">
        <f t="shared" ref="M17:M22" si="2">+H17</f>
        <v>230012.66047295602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2020</v>
      </c>
      <c r="D18" s="443">
        <v>4236000</v>
      </c>
      <c r="E18" s="444">
        <v>100857.14285714286</v>
      </c>
      <c r="F18" s="443">
        <v>4135142.8571428573</v>
      </c>
      <c r="G18" s="444">
        <v>552918.85124067403</v>
      </c>
      <c r="H18" s="445">
        <v>552918.85124067403</v>
      </c>
      <c r="I18" s="52">
        <f>H18-G18</f>
        <v>0</v>
      </c>
      <c r="J18" s="52"/>
      <c r="K18" s="54">
        <f t="shared" si="0"/>
        <v>552918.85124067403</v>
      </c>
      <c r="L18" s="54">
        <f t="shared" si="1"/>
        <v>0</v>
      </c>
      <c r="M18" s="54">
        <f t="shared" si="2"/>
        <v>552918.85124067403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>IU</v>
      </c>
      <c r="C19" s="50">
        <f>IF(D11="","-",+C18+1)</f>
        <v>2021</v>
      </c>
      <c r="D19" s="443">
        <v>4957664.8571428573</v>
      </c>
      <c r="E19" s="444">
        <v>117640.04651162791</v>
      </c>
      <c r="F19" s="443">
        <v>4840024.8106312295</v>
      </c>
      <c r="G19" s="444">
        <v>645841.5888943586</v>
      </c>
      <c r="H19" s="445">
        <v>645841.5888943586</v>
      </c>
      <c r="I19" s="52">
        <f t="shared" ref="I19:I71" si="5">H19-G19</f>
        <v>0</v>
      </c>
      <c r="J19" s="52"/>
      <c r="K19" s="54">
        <f t="shared" si="0"/>
        <v>645841.5888943586</v>
      </c>
      <c r="L19" s="54">
        <f t="shared" ref="L19" si="6">IF(K19&lt;&gt;0,+G19-K19,0)</f>
        <v>0</v>
      </c>
      <c r="M19" s="54">
        <f t="shared" si="2"/>
        <v>645841.5888943586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2022</v>
      </c>
      <c r="D20" s="443">
        <v>4840091.8106312295</v>
      </c>
      <c r="E20" s="444">
        <v>120442.59523809524</v>
      </c>
      <c r="F20" s="443">
        <v>4719649.2153931344</v>
      </c>
      <c r="G20" s="444">
        <v>635766.39004328649</v>
      </c>
      <c r="H20" s="445">
        <v>635766.39004328649</v>
      </c>
      <c r="I20" s="52">
        <f t="shared" si="5"/>
        <v>0</v>
      </c>
      <c r="J20" s="52"/>
      <c r="K20" s="54">
        <f t="shared" si="0"/>
        <v>635766.39004328649</v>
      </c>
      <c r="L20" s="54">
        <f t="shared" ref="L20" si="8">IF(K20&lt;&gt;0,+G20-K20,0)</f>
        <v>0</v>
      </c>
      <c r="M20" s="54">
        <f t="shared" si="2"/>
        <v>635766.39004328649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7"/>
        <v>IU</v>
      </c>
      <c r="C21" s="50">
        <f>IF(D11="","-",+C20+1)</f>
        <v>2023</v>
      </c>
      <c r="D21" s="443">
        <v>4719648.8353931345</v>
      </c>
      <c r="E21" s="444">
        <v>129707.40051282052</v>
      </c>
      <c r="F21" s="443">
        <v>4589941.4348803144</v>
      </c>
      <c r="G21" s="444">
        <v>685298.8633650993</v>
      </c>
      <c r="H21" s="445">
        <v>685298.8633650993</v>
      </c>
      <c r="I21" s="52">
        <f t="shared" si="5"/>
        <v>0</v>
      </c>
      <c r="J21" s="52"/>
      <c r="K21" s="54">
        <f t="shared" si="0"/>
        <v>685298.8633650993</v>
      </c>
      <c r="L21" s="54">
        <f t="shared" ref="L21" si="9">IF(K21&lt;&gt;0,+G21-K21,0)</f>
        <v>0</v>
      </c>
      <c r="M21" s="54">
        <f t="shared" si="2"/>
        <v>685298.8633650993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7"/>
        <v/>
      </c>
      <c r="C22" s="50">
        <f>IF(D11="","-",+C21+1)</f>
        <v>2024</v>
      </c>
      <c r="D22" s="443">
        <v>4589941.4348803144</v>
      </c>
      <c r="E22" s="444">
        <v>133120.75315789474</v>
      </c>
      <c r="F22" s="443">
        <v>4456820.6817224193</v>
      </c>
      <c r="G22" s="444">
        <v>647610.96322305209</v>
      </c>
      <c r="H22" s="445">
        <v>647610.96322305209</v>
      </c>
      <c r="I22" s="52">
        <f t="shared" si="5"/>
        <v>0</v>
      </c>
      <c r="J22" s="52"/>
      <c r="K22" s="54">
        <f t="shared" si="0"/>
        <v>647610.96322305209</v>
      </c>
      <c r="L22" s="54">
        <f t="shared" ref="L22" si="10">IF(K22&lt;&gt;0,+G22-K22,0)</f>
        <v>0</v>
      </c>
      <c r="M22" s="54">
        <f t="shared" si="2"/>
        <v>647610.96322305209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>
      <c r="B23" s="7" t="str">
        <f t="shared" si="7"/>
        <v/>
      </c>
      <c r="C23" s="50">
        <f>IF(D11="","-",+C22+1)</f>
        <v>2025</v>
      </c>
      <c r="D23" s="443">
        <v>4456820.6817224193</v>
      </c>
      <c r="E23" s="444">
        <v>133120.75315789474</v>
      </c>
      <c r="F23" s="443">
        <v>4323699.9285645243</v>
      </c>
      <c r="G23" s="444">
        <v>631882.83500009484</v>
      </c>
      <c r="H23" s="445">
        <v>631882.83500009484</v>
      </c>
      <c r="I23" s="52">
        <f t="shared" si="5"/>
        <v>0</v>
      </c>
      <c r="J23" s="52"/>
      <c r="K23" s="54">
        <f t="shared" ref="K23" si="13">+G23</f>
        <v>631882.83500009484</v>
      </c>
      <c r="L23" s="54">
        <f t="shared" ref="L23" si="14">IF(K23&lt;&gt;0,+G23-K23,0)</f>
        <v>0</v>
      </c>
      <c r="M23" s="54">
        <f t="shared" ref="M23" si="15">+H23</f>
        <v>631882.83500009484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4323699.9285645243</v>
      </c>
      <c r="E24" s="354">
        <f t="shared" ref="E24:E71" si="18">IF(+I$14&lt;F23,I$14,D24)</f>
        <v>133120.75315789474</v>
      </c>
      <c r="F24" s="55">
        <f t="shared" ref="F24:F71" si="19">+D24-E24</f>
        <v>4190579.1754066297</v>
      </c>
      <c r="G24" s="355">
        <f t="shared" ref="G24:G71" si="20">(D24+F24)/2*I$12+E24</f>
        <v>616759.4529300963</v>
      </c>
      <c r="H24" s="336">
        <f t="shared" ref="H24:H71" si="21">+(D24+F24)/2*I$13+E24</f>
        <v>616759.4529300963</v>
      </c>
      <c r="I24" s="52">
        <f t="shared" si="5"/>
        <v>0</v>
      </c>
      <c r="J24" s="52"/>
      <c r="K24" s="115"/>
      <c r="L24" s="54">
        <f t="shared" ref="L24:L72" si="22">IF(K24&lt;&gt;0,+G24-K24,0)</f>
        <v>0</v>
      </c>
      <c r="M24" s="115"/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4190579.1754066297</v>
      </c>
      <c r="E25" s="354">
        <f t="shared" si="18"/>
        <v>133120.75315789474</v>
      </c>
      <c r="F25" s="55">
        <f t="shared" si="19"/>
        <v>4057458.4222487351</v>
      </c>
      <c r="G25" s="355">
        <f t="shared" si="20"/>
        <v>601636.07086009777</v>
      </c>
      <c r="H25" s="336">
        <f t="shared" si="21"/>
        <v>601636.07086009777</v>
      </c>
      <c r="I25" s="52">
        <f t="shared" si="5"/>
        <v>0</v>
      </c>
      <c r="J25" s="52"/>
      <c r="K25" s="115"/>
      <c r="L25" s="54">
        <f t="shared" si="22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4057458.4222487351</v>
      </c>
      <c r="E26" s="354">
        <f t="shared" si="18"/>
        <v>133120.75315789474</v>
      </c>
      <c r="F26" s="55">
        <f t="shared" si="19"/>
        <v>3924337.6690908405</v>
      </c>
      <c r="G26" s="355">
        <f t="shared" si="20"/>
        <v>586512.68879009923</v>
      </c>
      <c r="H26" s="336">
        <f t="shared" si="21"/>
        <v>586512.68879009923</v>
      </c>
      <c r="I26" s="52">
        <f t="shared" si="5"/>
        <v>0</v>
      </c>
      <c r="J26" s="52"/>
      <c r="K26" s="115"/>
      <c r="L26" s="54">
        <f t="shared" si="22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3924337.6690908405</v>
      </c>
      <c r="E27" s="354">
        <f t="shared" si="18"/>
        <v>133120.75315789474</v>
      </c>
      <c r="F27" s="55">
        <f t="shared" si="19"/>
        <v>3791216.9159329459</v>
      </c>
      <c r="G27" s="355">
        <f t="shared" si="20"/>
        <v>571389.30672010069</v>
      </c>
      <c r="H27" s="336">
        <f t="shared" si="21"/>
        <v>571389.30672010069</v>
      </c>
      <c r="I27" s="52">
        <f t="shared" si="5"/>
        <v>0</v>
      </c>
      <c r="J27" s="52"/>
      <c r="K27" s="115"/>
      <c r="L27" s="54">
        <f t="shared" si="22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3791216.9159329459</v>
      </c>
      <c r="E28" s="354">
        <f t="shared" si="18"/>
        <v>133120.75315789474</v>
      </c>
      <c r="F28" s="55">
        <f t="shared" si="19"/>
        <v>3658096.1627750513</v>
      </c>
      <c r="G28" s="355">
        <f t="shared" si="20"/>
        <v>556265.92465010204</v>
      </c>
      <c r="H28" s="336">
        <f t="shared" si="21"/>
        <v>556265.92465010204</v>
      </c>
      <c r="I28" s="52">
        <f t="shared" si="5"/>
        <v>0</v>
      </c>
      <c r="J28" s="52"/>
      <c r="K28" s="115"/>
      <c r="L28" s="54">
        <f t="shared" si="22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3658096.1627750513</v>
      </c>
      <c r="E29" s="354">
        <f t="shared" si="18"/>
        <v>133120.75315789474</v>
      </c>
      <c r="F29" s="55">
        <f t="shared" si="19"/>
        <v>3524975.4096171567</v>
      </c>
      <c r="G29" s="355">
        <f t="shared" si="20"/>
        <v>541142.54258010362</v>
      </c>
      <c r="H29" s="336">
        <f t="shared" si="21"/>
        <v>541142.54258010362</v>
      </c>
      <c r="I29" s="52">
        <f t="shared" si="5"/>
        <v>0</v>
      </c>
      <c r="J29" s="52"/>
      <c r="K29" s="115"/>
      <c r="L29" s="54">
        <f t="shared" si="22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3524975.4096171567</v>
      </c>
      <c r="E30" s="354">
        <f t="shared" si="18"/>
        <v>133120.75315789474</v>
      </c>
      <c r="F30" s="55">
        <f t="shared" si="19"/>
        <v>3391854.6564592621</v>
      </c>
      <c r="G30" s="355">
        <f t="shared" si="20"/>
        <v>526019.16051010496</v>
      </c>
      <c r="H30" s="336">
        <f t="shared" si="21"/>
        <v>526019.16051010496</v>
      </c>
      <c r="I30" s="52">
        <f t="shared" si="5"/>
        <v>0</v>
      </c>
      <c r="J30" s="52"/>
      <c r="K30" s="115"/>
      <c r="L30" s="54">
        <f t="shared" si="22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3391854.6564592621</v>
      </c>
      <c r="E31" s="354">
        <f t="shared" si="18"/>
        <v>133120.75315789474</v>
      </c>
      <c r="F31" s="55">
        <f t="shared" si="19"/>
        <v>3258733.9033013675</v>
      </c>
      <c r="G31" s="355">
        <f t="shared" si="20"/>
        <v>510895.77844010643</v>
      </c>
      <c r="H31" s="336">
        <f t="shared" si="21"/>
        <v>510895.77844010643</v>
      </c>
      <c r="I31" s="52">
        <f t="shared" si="5"/>
        <v>0</v>
      </c>
      <c r="J31" s="52"/>
      <c r="K31" s="115"/>
      <c r="L31" s="54">
        <f t="shared" si="22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3258733.9033013675</v>
      </c>
      <c r="E32" s="354">
        <f t="shared" si="18"/>
        <v>133120.75315789474</v>
      </c>
      <c r="F32" s="55">
        <f t="shared" si="19"/>
        <v>3125613.1501434729</v>
      </c>
      <c r="G32" s="355">
        <f t="shared" si="20"/>
        <v>495772.39637010789</v>
      </c>
      <c r="H32" s="336">
        <f t="shared" si="21"/>
        <v>495772.39637010789</v>
      </c>
      <c r="I32" s="52">
        <f t="shared" si="5"/>
        <v>0</v>
      </c>
      <c r="J32" s="52"/>
      <c r="K32" s="115"/>
      <c r="L32" s="54">
        <f t="shared" si="22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3125613.1501434729</v>
      </c>
      <c r="E33" s="354">
        <f t="shared" si="18"/>
        <v>133120.75315789474</v>
      </c>
      <c r="F33" s="55">
        <f t="shared" si="19"/>
        <v>2992492.3969855784</v>
      </c>
      <c r="G33" s="355">
        <f t="shared" si="20"/>
        <v>480649.01430010935</v>
      </c>
      <c r="H33" s="336">
        <f t="shared" si="21"/>
        <v>480649.01430010935</v>
      </c>
      <c r="I33" s="52">
        <f t="shared" si="5"/>
        <v>0</v>
      </c>
      <c r="J33" s="52"/>
      <c r="K33" s="115"/>
      <c r="L33" s="54">
        <f t="shared" si="22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2992492.3969855784</v>
      </c>
      <c r="E34" s="354">
        <f t="shared" si="18"/>
        <v>133120.75315789474</v>
      </c>
      <c r="F34" s="55">
        <f t="shared" si="19"/>
        <v>2859371.6438276838</v>
      </c>
      <c r="G34" s="355">
        <f t="shared" si="20"/>
        <v>465525.63223011082</v>
      </c>
      <c r="H34" s="336">
        <f t="shared" si="21"/>
        <v>465525.63223011082</v>
      </c>
      <c r="I34" s="52">
        <f t="shared" si="5"/>
        <v>0</v>
      </c>
      <c r="J34" s="52"/>
      <c r="K34" s="115"/>
      <c r="L34" s="54">
        <f t="shared" si="22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2859371.6438276838</v>
      </c>
      <c r="E35" s="354">
        <f t="shared" si="18"/>
        <v>133120.75315789474</v>
      </c>
      <c r="F35" s="55">
        <f t="shared" si="19"/>
        <v>2726250.8906697892</v>
      </c>
      <c r="G35" s="355">
        <f t="shared" si="20"/>
        <v>450402.25016011228</v>
      </c>
      <c r="H35" s="336">
        <f t="shared" si="21"/>
        <v>450402.25016011228</v>
      </c>
      <c r="I35" s="52">
        <f t="shared" si="5"/>
        <v>0</v>
      </c>
      <c r="J35" s="52"/>
      <c r="K35" s="115"/>
      <c r="L35" s="54">
        <f t="shared" si="22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2726250.8906697892</v>
      </c>
      <c r="E36" s="354">
        <f t="shared" si="18"/>
        <v>133120.75315789474</v>
      </c>
      <c r="F36" s="55">
        <f t="shared" si="19"/>
        <v>2593130.1375118946</v>
      </c>
      <c r="G36" s="355">
        <f t="shared" si="20"/>
        <v>435278.86809011362</v>
      </c>
      <c r="H36" s="336">
        <f t="shared" si="21"/>
        <v>435278.86809011362</v>
      </c>
      <c r="I36" s="52">
        <f t="shared" si="5"/>
        <v>0</v>
      </c>
      <c r="J36" s="52"/>
      <c r="K36" s="115"/>
      <c r="L36" s="54">
        <f t="shared" si="22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2593130.1375118946</v>
      </c>
      <c r="E37" s="354">
        <f t="shared" si="18"/>
        <v>133120.75315789474</v>
      </c>
      <c r="F37" s="55">
        <f t="shared" si="19"/>
        <v>2460009.384354</v>
      </c>
      <c r="G37" s="355">
        <f t="shared" si="20"/>
        <v>420155.4860201152</v>
      </c>
      <c r="H37" s="336">
        <f t="shared" si="21"/>
        <v>420155.4860201152</v>
      </c>
      <c r="I37" s="52">
        <f t="shared" si="5"/>
        <v>0</v>
      </c>
      <c r="J37" s="52"/>
      <c r="K37" s="115"/>
      <c r="L37" s="54">
        <f t="shared" si="22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2460009.384354</v>
      </c>
      <c r="E38" s="354">
        <f t="shared" si="18"/>
        <v>133120.75315789474</v>
      </c>
      <c r="F38" s="55">
        <f t="shared" si="19"/>
        <v>2326888.6311961054</v>
      </c>
      <c r="G38" s="355">
        <f t="shared" si="20"/>
        <v>405032.10395011655</v>
      </c>
      <c r="H38" s="336">
        <f t="shared" si="21"/>
        <v>405032.10395011655</v>
      </c>
      <c r="I38" s="52">
        <f t="shared" si="5"/>
        <v>0</v>
      </c>
      <c r="J38" s="52"/>
      <c r="K38" s="115"/>
      <c r="L38" s="54">
        <f t="shared" si="22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2326888.6311961054</v>
      </c>
      <c r="E39" s="354">
        <f t="shared" si="18"/>
        <v>133120.75315789474</v>
      </c>
      <c r="F39" s="55">
        <f t="shared" si="19"/>
        <v>2193767.8780382108</v>
      </c>
      <c r="G39" s="355">
        <f t="shared" si="20"/>
        <v>389908.72188011807</v>
      </c>
      <c r="H39" s="336">
        <f t="shared" si="21"/>
        <v>389908.72188011807</v>
      </c>
      <c r="I39" s="52">
        <f t="shared" si="5"/>
        <v>0</v>
      </c>
      <c r="J39" s="52"/>
      <c r="K39" s="115"/>
      <c r="L39" s="54">
        <f t="shared" si="22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2193767.8780382108</v>
      </c>
      <c r="E40" s="354">
        <f t="shared" si="18"/>
        <v>133120.75315789474</v>
      </c>
      <c r="F40" s="55">
        <f t="shared" si="19"/>
        <v>2060647.124880316</v>
      </c>
      <c r="G40" s="355">
        <f t="shared" si="20"/>
        <v>374785.33981011948</v>
      </c>
      <c r="H40" s="336">
        <f t="shared" si="21"/>
        <v>374785.33981011948</v>
      </c>
      <c r="I40" s="52">
        <f t="shared" si="5"/>
        <v>0</v>
      </c>
      <c r="J40" s="52"/>
      <c r="K40" s="115"/>
      <c r="L40" s="54">
        <f t="shared" si="22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2060647.124880316</v>
      </c>
      <c r="E41" s="354">
        <f t="shared" si="18"/>
        <v>133120.75315789474</v>
      </c>
      <c r="F41" s="55">
        <f t="shared" si="19"/>
        <v>1927526.3717224211</v>
      </c>
      <c r="G41" s="355">
        <f t="shared" si="20"/>
        <v>359661.95774012094</v>
      </c>
      <c r="H41" s="336">
        <f t="shared" si="21"/>
        <v>359661.95774012094</v>
      </c>
      <c r="I41" s="52">
        <f t="shared" si="5"/>
        <v>0</v>
      </c>
      <c r="J41" s="52"/>
      <c r="K41" s="115"/>
      <c r="L41" s="54">
        <f t="shared" si="22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1927526.3717224211</v>
      </c>
      <c r="E42" s="354">
        <f t="shared" si="18"/>
        <v>133120.75315789474</v>
      </c>
      <c r="F42" s="55">
        <f t="shared" si="19"/>
        <v>1794405.6185645263</v>
      </c>
      <c r="G42" s="355">
        <f t="shared" si="20"/>
        <v>344538.57567012229</v>
      </c>
      <c r="H42" s="336">
        <f t="shared" si="21"/>
        <v>344538.57567012229</v>
      </c>
      <c r="I42" s="52">
        <f t="shared" si="5"/>
        <v>0</v>
      </c>
      <c r="J42" s="52"/>
      <c r="K42" s="115"/>
      <c r="L42" s="54">
        <f t="shared" si="22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1794405.6185645263</v>
      </c>
      <c r="E43" s="354">
        <f t="shared" si="18"/>
        <v>133120.75315789474</v>
      </c>
      <c r="F43" s="55">
        <f t="shared" si="19"/>
        <v>1661284.8654066315</v>
      </c>
      <c r="G43" s="355">
        <f t="shared" si="20"/>
        <v>329415.19360012375</v>
      </c>
      <c r="H43" s="336">
        <f t="shared" si="21"/>
        <v>329415.19360012375</v>
      </c>
      <c r="I43" s="52">
        <f t="shared" si="5"/>
        <v>0</v>
      </c>
      <c r="J43" s="52"/>
      <c r="K43" s="115"/>
      <c r="L43" s="54">
        <f t="shared" si="22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1661284.8654066315</v>
      </c>
      <c r="E44" s="354">
        <f t="shared" si="18"/>
        <v>133120.75315789474</v>
      </c>
      <c r="F44" s="55">
        <f t="shared" si="19"/>
        <v>1528164.1122487367</v>
      </c>
      <c r="G44" s="355">
        <f t="shared" si="20"/>
        <v>314291.81153012521</v>
      </c>
      <c r="H44" s="336">
        <f t="shared" si="21"/>
        <v>314291.81153012521</v>
      </c>
      <c r="I44" s="52">
        <f t="shared" si="5"/>
        <v>0</v>
      </c>
      <c r="J44" s="52"/>
      <c r="K44" s="115"/>
      <c r="L44" s="54">
        <f t="shared" si="22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1528164.1122487367</v>
      </c>
      <c r="E45" s="354">
        <f t="shared" si="18"/>
        <v>133120.75315789474</v>
      </c>
      <c r="F45" s="55">
        <f t="shared" si="19"/>
        <v>1395043.3590908418</v>
      </c>
      <c r="G45" s="355">
        <f t="shared" si="20"/>
        <v>299168.42946012662</v>
      </c>
      <c r="H45" s="336">
        <f t="shared" si="21"/>
        <v>299168.42946012662</v>
      </c>
      <c r="I45" s="52">
        <f t="shared" si="5"/>
        <v>0</v>
      </c>
      <c r="J45" s="52"/>
      <c r="K45" s="115"/>
      <c r="L45" s="54">
        <f t="shared" si="22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1395043.3590908418</v>
      </c>
      <c r="E46" s="354">
        <f t="shared" si="18"/>
        <v>133120.75315789474</v>
      </c>
      <c r="F46" s="55">
        <f t="shared" si="19"/>
        <v>1261922.605932947</v>
      </c>
      <c r="G46" s="355">
        <f t="shared" si="20"/>
        <v>284045.04739012802</v>
      </c>
      <c r="H46" s="336">
        <f t="shared" si="21"/>
        <v>284045.04739012802</v>
      </c>
      <c r="I46" s="52">
        <f t="shared" si="5"/>
        <v>0</v>
      </c>
      <c r="J46" s="52"/>
      <c r="K46" s="115"/>
      <c r="L46" s="54">
        <f t="shared" si="22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1261922.605932947</v>
      </c>
      <c r="E47" s="354">
        <f t="shared" si="18"/>
        <v>133120.75315789474</v>
      </c>
      <c r="F47" s="55">
        <f t="shared" si="19"/>
        <v>1128801.8527750522</v>
      </c>
      <c r="G47" s="355">
        <f t="shared" si="20"/>
        <v>268921.66532012948</v>
      </c>
      <c r="H47" s="336">
        <f t="shared" si="21"/>
        <v>268921.66532012948</v>
      </c>
      <c r="I47" s="52">
        <f t="shared" si="5"/>
        <v>0</v>
      </c>
      <c r="J47" s="52"/>
      <c r="K47" s="115"/>
      <c r="L47" s="54">
        <f t="shared" si="22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1128801.8527750522</v>
      </c>
      <c r="E48" s="354">
        <f t="shared" si="18"/>
        <v>133120.75315789474</v>
      </c>
      <c r="F48" s="55">
        <f t="shared" si="19"/>
        <v>995681.09961715748</v>
      </c>
      <c r="G48" s="355">
        <f t="shared" si="20"/>
        <v>253798.28325013089</v>
      </c>
      <c r="H48" s="336">
        <f t="shared" si="21"/>
        <v>253798.28325013089</v>
      </c>
      <c r="I48" s="52">
        <f t="shared" si="5"/>
        <v>0</v>
      </c>
      <c r="J48" s="52"/>
      <c r="K48" s="115"/>
      <c r="L48" s="54">
        <f t="shared" si="22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995681.09961715748</v>
      </c>
      <c r="E49" s="354">
        <f t="shared" si="18"/>
        <v>133120.75315789474</v>
      </c>
      <c r="F49" s="55">
        <f t="shared" si="19"/>
        <v>862560.34645926277</v>
      </c>
      <c r="G49" s="355">
        <f t="shared" si="20"/>
        <v>238674.90118013229</v>
      </c>
      <c r="H49" s="336">
        <f t="shared" si="21"/>
        <v>238674.90118013229</v>
      </c>
      <c r="I49" s="52">
        <f t="shared" si="5"/>
        <v>0</v>
      </c>
      <c r="J49" s="52"/>
      <c r="K49" s="115"/>
      <c r="L49" s="54">
        <f t="shared" si="22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862560.34645926277</v>
      </c>
      <c r="E50" s="354">
        <f t="shared" si="18"/>
        <v>133120.75315789474</v>
      </c>
      <c r="F50" s="55">
        <f t="shared" si="19"/>
        <v>729439.59330136806</v>
      </c>
      <c r="G50" s="355">
        <f t="shared" si="20"/>
        <v>223551.51911013376</v>
      </c>
      <c r="H50" s="336">
        <f t="shared" si="21"/>
        <v>223551.51911013376</v>
      </c>
      <c r="I50" s="52">
        <f t="shared" si="5"/>
        <v>0</v>
      </c>
      <c r="J50" s="52"/>
      <c r="K50" s="115"/>
      <c r="L50" s="54">
        <f t="shared" si="22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729439.59330136806</v>
      </c>
      <c r="E51" s="354">
        <f t="shared" si="18"/>
        <v>133120.75315789474</v>
      </c>
      <c r="F51" s="55">
        <f t="shared" si="19"/>
        <v>596318.84014347335</v>
      </c>
      <c r="G51" s="355">
        <f t="shared" si="20"/>
        <v>208428.13704013519</v>
      </c>
      <c r="H51" s="336">
        <f t="shared" si="21"/>
        <v>208428.13704013519</v>
      </c>
      <c r="I51" s="52">
        <f t="shared" si="5"/>
        <v>0</v>
      </c>
      <c r="J51" s="52"/>
      <c r="K51" s="115"/>
      <c r="L51" s="54">
        <f t="shared" si="22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596318.84014347335</v>
      </c>
      <c r="E52" s="354">
        <f t="shared" si="18"/>
        <v>133120.75315789474</v>
      </c>
      <c r="F52" s="55">
        <f t="shared" si="19"/>
        <v>463198.08698557864</v>
      </c>
      <c r="G52" s="355">
        <f t="shared" si="20"/>
        <v>193304.75497013662</v>
      </c>
      <c r="H52" s="336">
        <f t="shared" si="21"/>
        <v>193304.75497013662</v>
      </c>
      <c r="I52" s="52">
        <f t="shared" si="5"/>
        <v>0</v>
      </c>
      <c r="J52" s="52"/>
      <c r="K52" s="115"/>
      <c r="L52" s="54">
        <f t="shared" si="22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463198.08698557864</v>
      </c>
      <c r="E53" s="354">
        <f t="shared" si="18"/>
        <v>133120.75315789474</v>
      </c>
      <c r="F53" s="55">
        <f t="shared" si="19"/>
        <v>330077.33382768393</v>
      </c>
      <c r="G53" s="355">
        <f t="shared" si="20"/>
        <v>178181.37290013806</v>
      </c>
      <c r="H53" s="336">
        <f t="shared" si="21"/>
        <v>178181.37290013806</v>
      </c>
      <c r="I53" s="52">
        <f t="shared" si="5"/>
        <v>0</v>
      </c>
      <c r="J53" s="52"/>
      <c r="K53" s="115"/>
      <c r="L53" s="54">
        <f t="shared" si="22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330077.33382768393</v>
      </c>
      <c r="E54" s="354">
        <f t="shared" si="18"/>
        <v>133120.75315789474</v>
      </c>
      <c r="F54" s="55">
        <f t="shared" si="19"/>
        <v>196956.5806697892</v>
      </c>
      <c r="G54" s="355">
        <f t="shared" si="20"/>
        <v>163057.99083013949</v>
      </c>
      <c r="H54" s="336">
        <f t="shared" si="21"/>
        <v>163057.99083013949</v>
      </c>
      <c r="I54" s="52">
        <f t="shared" si="5"/>
        <v>0</v>
      </c>
      <c r="J54" s="52"/>
      <c r="K54" s="115"/>
      <c r="L54" s="54">
        <f t="shared" si="22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196956.5806697892</v>
      </c>
      <c r="E55" s="354">
        <f t="shared" si="18"/>
        <v>133120.75315789474</v>
      </c>
      <c r="F55" s="55">
        <f t="shared" si="19"/>
        <v>63835.827511894458</v>
      </c>
      <c r="G55" s="355">
        <f t="shared" si="20"/>
        <v>147934.60876014092</v>
      </c>
      <c r="H55" s="336">
        <f t="shared" si="21"/>
        <v>147934.60876014092</v>
      </c>
      <c r="I55" s="52">
        <f t="shared" si="5"/>
        <v>0</v>
      </c>
      <c r="J55" s="52"/>
      <c r="K55" s="115"/>
      <c r="L55" s="54">
        <f t="shared" si="22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63835.827511894458</v>
      </c>
      <c r="E56" s="354">
        <f t="shared" si="18"/>
        <v>63835.827511894458</v>
      </c>
      <c r="F56" s="55">
        <f t="shared" si="19"/>
        <v>0</v>
      </c>
      <c r="G56" s="355">
        <f t="shared" si="20"/>
        <v>67461.909795517917</v>
      </c>
      <c r="H56" s="336">
        <f t="shared" si="21"/>
        <v>67461.909795517917</v>
      </c>
      <c r="I56" s="52">
        <f t="shared" si="5"/>
        <v>0</v>
      </c>
      <c r="J56" s="52"/>
      <c r="K56" s="115"/>
      <c r="L56" s="54">
        <f t="shared" si="22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0</v>
      </c>
      <c r="E57" s="354">
        <f t="shared" si="18"/>
        <v>0</v>
      </c>
      <c r="F57" s="55">
        <f t="shared" si="19"/>
        <v>0</v>
      </c>
      <c r="G57" s="355">
        <f t="shared" si="20"/>
        <v>0</v>
      </c>
      <c r="H57" s="336">
        <f t="shared" si="21"/>
        <v>0</v>
      </c>
      <c r="I57" s="52">
        <f t="shared" si="5"/>
        <v>0</v>
      </c>
      <c r="J57" s="52"/>
      <c r="K57" s="115"/>
      <c r="L57" s="54">
        <f t="shared" si="22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0</v>
      </c>
      <c r="E58" s="354">
        <f t="shared" si="18"/>
        <v>0</v>
      </c>
      <c r="F58" s="55">
        <f t="shared" si="19"/>
        <v>0</v>
      </c>
      <c r="G58" s="355">
        <f t="shared" si="20"/>
        <v>0</v>
      </c>
      <c r="H58" s="336">
        <f t="shared" si="21"/>
        <v>0</v>
      </c>
      <c r="I58" s="52">
        <f t="shared" si="5"/>
        <v>0</v>
      </c>
      <c r="J58" s="52"/>
      <c r="K58" s="115"/>
      <c r="L58" s="54">
        <f t="shared" si="22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0</v>
      </c>
      <c r="E59" s="354">
        <f t="shared" si="18"/>
        <v>0</v>
      </c>
      <c r="F59" s="55">
        <f t="shared" si="19"/>
        <v>0</v>
      </c>
      <c r="G59" s="355">
        <f t="shared" si="20"/>
        <v>0</v>
      </c>
      <c r="H59" s="336">
        <f t="shared" si="21"/>
        <v>0</v>
      </c>
      <c r="I59" s="52">
        <f t="shared" si="5"/>
        <v>0</v>
      </c>
      <c r="J59" s="52"/>
      <c r="K59" s="115"/>
      <c r="L59" s="54">
        <f t="shared" si="22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0</v>
      </c>
      <c r="E60" s="354">
        <f t="shared" si="18"/>
        <v>0</v>
      </c>
      <c r="F60" s="55">
        <f t="shared" si="19"/>
        <v>0</v>
      </c>
      <c r="G60" s="355">
        <f t="shared" si="20"/>
        <v>0</v>
      </c>
      <c r="H60" s="336">
        <f t="shared" si="21"/>
        <v>0</v>
      </c>
      <c r="I60" s="52">
        <f t="shared" si="5"/>
        <v>0</v>
      </c>
      <c r="J60" s="52"/>
      <c r="K60" s="115"/>
      <c r="L60" s="54">
        <f t="shared" si="22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0</v>
      </c>
      <c r="E61" s="354">
        <f t="shared" si="18"/>
        <v>0</v>
      </c>
      <c r="F61" s="55">
        <f t="shared" si="19"/>
        <v>0</v>
      </c>
      <c r="G61" s="355">
        <f t="shared" si="20"/>
        <v>0</v>
      </c>
      <c r="H61" s="336">
        <f t="shared" si="21"/>
        <v>0</v>
      </c>
      <c r="I61" s="52">
        <f t="shared" si="5"/>
        <v>0</v>
      </c>
      <c r="J61" s="52"/>
      <c r="K61" s="115"/>
      <c r="L61" s="54">
        <f t="shared" si="22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54">
        <f t="shared" si="18"/>
        <v>0</v>
      </c>
      <c r="F62" s="55">
        <f t="shared" si="19"/>
        <v>0</v>
      </c>
      <c r="G62" s="355">
        <f t="shared" si="20"/>
        <v>0</v>
      </c>
      <c r="H62" s="336">
        <f t="shared" si="21"/>
        <v>0</v>
      </c>
      <c r="I62" s="52">
        <f t="shared" si="5"/>
        <v>0</v>
      </c>
      <c r="J62" s="52"/>
      <c r="K62" s="115"/>
      <c r="L62" s="54">
        <f t="shared" si="22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54">
        <f t="shared" si="18"/>
        <v>0</v>
      </c>
      <c r="F63" s="55">
        <f t="shared" si="19"/>
        <v>0</v>
      </c>
      <c r="G63" s="355">
        <f t="shared" si="20"/>
        <v>0</v>
      </c>
      <c r="H63" s="336">
        <f t="shared" si="21"/>
        <v>0</v>
      </c>
      <c r="I63" s="52">
        <f t="shared" si="5"/>
        <v>0</v>
      </c>
      <c r="J63" s="52"/>
      <c r="K63" s="115"/>
      <c r="L63" s="54">
        <f t="shared" si="22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54">
        <f t="shared" si="18"/>
        <v>0</v>
      </c>
      <c r="F64" s="55">
        <f t="shared" si="19"/>
        <v>0</v>
      </c>
      <c r="G64" s="355">
        <f t="shared" si="20"/>
        <v>0</v>
      </c>
      <c r="H64" s="336">
        <f t="shared" si="21"/>
        <v>0</v>
      </c>
      <c r="I64" s="52">
        <f t="shared" si="5"/>
        <v>0</v>
      </c>
      <c r="J64" s="52"/>
      <c r="K64" s="115"/>
      <c r="L64" s="54">
        <f t="shared" si="22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54">
        <f t="shared" si="18"/>
        <v>0</v>
      </c>
      <c r="F65" s="55">
        <f t="shared" si="19"/>
        <v>0</v>
      </c>
      <c r="G65" s="355">
        <f t="shared" si="20"/>
        <v>0</v>
      </c>
      <c r="H65" s="336">
        <f t="shared" si="21"/>
        <v>0</v>
      </c>
      <c r="I65" s="52">
        <f t="shared" si="5"/>
        <v>0</v>
      </c>
      <c r="J65" s="52"/>
      <c r="K65" s="115"/>
      <c r="L65" s="54">
        <f t="shared" si="22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54">
        <f t="shared" si="18"/>
        <v>0</v>
      </c>
      <c r="F66" s="55">
        <f t="shared" si="19"/>
        <v>0</v>
      </c>
      <c r="G66" s="355">
        <f t="shared" si="20"/>
        <v>0</v>
      </c>
      <c r="H66" s="336">
        <f t="shared" si="21"/>
        <v>0</v>
      </c>
      <c r="I66" s="52">
        <f t="shared" si="5"/>
        <v>0</v>
      </c>
      <c r="J66" s="52"/>
      <c r="K66" s="115"/>
      <c r="L66" s="54">
        <f t="shared" si="22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54">
        <f t="shared" si="18"/>
        <v>0</v>
      </c>
      <c r="F67" s="55">
        <f t="shared" si="19"/>
        <v>0</v>
      </c>
      <c r="G67" s="355">
        <f t="shared" si="20"/>
        <v>0</v>
      </c>
      <c r="H67" s="336">
        <f t="shared" si="21"/>
        <v>0</v>
      </c>
      <c r="I67" s="52">
        <f t="shared" si="5"/>
        <v>0</v>
      </c>
      <c r="J67" s="52"/>
      <c r="K67" s="115"/>
      <c r="L67" s="54">
        <f t="shared" si="22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54">
        <f t="shared" si="18"/>
        <v>0</v>
      </c>
      <c r="F68" s="55">
        <f t="shared" si="19"/>
        <v>0</v>
      </c>
      <c r="G68" s="355">
        <f t="shared" si="20"/>
        <v>0</v>
      </c>
      <c r="H68" s="336">
        <f t="shared" si="21"/>
        <v>0</v>
      </c>
      <c r="I68" s="52">
        <f t="shared" si="5"/>
        <v>0</v>
      </c>
      <c r="J68" s="52"/>
      <c r="K68" s="115"/>
      <c r="L68" s="54">
        <f t="shared" si="22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54">
        <f t="shared" si="18"/>
        <v>0</v>
      </c>
      <c r="F69" s="55">
        <f t="shared" si="19"/>
        <v>0</v>
      </c>
      <c r="G69" s="355">
        <f t="shared" si="20"/>
        <v>0</v>
      </c>
      <c r="H69" s="336">
        <f t="shared" si="21"/>
        <v>0</v>
      </c>
      <c r="I69" s="52">
        <f t="shared" si="5"/>
        <v>0</v>
      </c>
      <c r="J69" s="52"/>
      <c r="K69" s="115"/>
      <c r="L69" s="54">
        <f t="shared" si="22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54">
        <f t="shared" si="18"/>
        <v>0</v>
      </c>
      <c r="F70" s="55">
        <f t="shared" si="19"/>
        <v>0</v>
      </c>
      <c r="G70" s="355">
        <f t="shared" si="20"/>
        <v>0</v>
      </c>
      <c r="H70" s="336">
        <f t="shared" si="21"/>
        <v>0</v>
      </c>
      <c r="I70" s="52">
        <f t="shared" si="5"/>
        <v>0</v>
      </c>
      <c r="J70" s="52"/>
      <c r="K70" s="115"/>
      <c r="L70" s="54">
        <f t="shared" si="22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54">
        <f t="shared" si="18"/>
        <v>0</v>
      </c>
      <c r="F71" s="55">
        <f t="shared" si="19"/>
        <v>0</v>
      </c>
      <c r="G71" s="355">
        <f t="shared" si="20"/>
        <v>0</v>
      </c>
      <c r="H71" s="336">
        <f t="shared" si="21"/>
        <v>0</v>
      </c>
      <c r="I71" s="52">
        <f t="shared" si="5"/>
        <v>0</v>
      </c>
      <c r="J71" s="52"/>
      <c r="K71" s="115"/>
      <c r="L71" s="54">
        <f t="shared" si="22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.5" thickBot="1">
      <c r="B72" s="7" t="str">
        <f t="shared" si="7"/>
        <v/>
      </c>
      <c r="C72" s="58">
        <f>IF(D11="","-",+C71+1)</f>
        <v>2074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22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>
      <c r="C73" s="12" t="s">
        <v>77</v>
      </c>
      <c r="D73" s="266"/>
      <c r="E73" s="266">
        <f>SUM(E17:E72)</f>
        <v>5058588.6200000029</v>
      </c>
      <c r="F73" s="266"/>
      <c r="G73" s="266">
        <f>SUM(G17:G72)</f>
        <v>16331899.049078837</v>
      </c>
      <c r="H73" s="266">
        <f>SUM(H17:H72)</f>
        <v>16331899.049078837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27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631882.83500009484</v>
      </c>
      <c r="N87" s="364">
        <f>IF(J92&lt;D11,0,VLOOKUP(J92,C17:O72,11))</f>
        <v>631882.83500009484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646717.86527193757</v>
      </c>
      <c r="N88" s="367">
        <f>IF(J92&lt;D11,0,VLOOKUP(J92,C99:P154,7))</f>
        <v>646717.86527193757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Broken Arrow North-Lynn Lane East 138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14835.030271842727</v>
      </c>
      <c r="N89" s="369">
        <f>+N88-N87</f>
        <v>14835.030271842727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TP2017016</v>
      </c>
      <c r="E91" s="74" t="str">
        <f>E9</f>
        <v xml:space="preserve">  SPP Project ID = 41233</v>
      </c>
      <c r="F91" s="74"/>
      <c r="G91" s="74"/>
      <c r="H91" s="74"/>
      <c r="I91" s="74"/>
      <c r="J91" s="74"/>
    </row>
    <row r="92" spans="1:16">
      <c r="C92" s="128" t="s">
        <v>226</v>
      </c>
      <c r="D92" s="372">
        <v>5058588.62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D11</f>
        <v>2019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D12</f>
        <v>3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136719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2019</v>
      </c>
      <c r="D99" s="411">
        <v>0</v>
      </c>
      <c r="E99" s="432">
        <v>92534.25</v>
      </c>
      <c r="F99" s="411">
        <v>4965987.75</v>
      </c>
      <c r="G99" s="432">
        <v>2482993.875</v>
      </c>
      <c r="H99" s="414">
        <v>348565.74518479535</v>
      </c>
      <c r="I99" s="431">
        <v>348565.74518479535</v>
      </c>
      <c r="J99" s="54">
        <f>+I99-H99</f>
        <v>0</v>
      </c>
      <c r="K99" s="54"/>
      <c r="L99" s="53">
        <f>+H99</f>
        <v>348565.74518479535</v>
      </c>
      <c r="M99" s="53">
        <f t="shared" ref="M99" si="23">IF(L99&lt;&gt;0,+H99-L99,0)</f>
        <v>0</v>
      </c>
      <c r="N99" s="53">
        <f>+I99</f>
        <v>348565.74518479535</v>
      </c>
      <c r="O99" s="53">
        <f t="shared" ref="O99:O130" si="24">IF(N99&lt;&gt;0,+I99-N99,0)</f>
        <v>0</v>
      </c>
      <c r="P99" s="53">
        <f t="shared" ref="P99:P130" si="25">+O99-M99</f>
        <v>0</v>
      </c>
    </row>
    <row r="100" spans="1:16">
      <c r="B100" s="7" t="str">
        <f>IF(D100=F99,"","IU")</f>
        <v>IU</v>
      </c>
      <c r="C100" s="50">
        <f>IF(D93="","-",+C99+1)</f>
        <v>2020</v>
      </c>
      <c r="D100" s="411">
        <v>4966054.75</v>
      </c>
      <c r="E100" s="412">
        <v>117642</v>
      </c>
      <c r="F100" s="413">
        <v>4848412.75</v>
      </c>
      <c r="G100" s="413">
        <v>4907233.75</v>
      </c>
      <c r="H100" s="430">
        <v>683432.56004823186</v>
      </c>
      <c r="I100" s="431">
        <v>683432.56004823186</v>
      </c>
      <c r="J100" s="54">
        <f t="shared" ref="J100:J130" si="26">+I100-H100</f>
        <v>0</v>
      </c>
      <c r="K100" s="54"/>
      <c r="L100" s="350">
        <f>H100</f>
        <v>683432.56004823186</v>
      </c>
      <c r="M100" s="63">
        <f>IF(L100&lt;&gt;0,+H100-L100,0)</f>
        <v>0</v>
      </c>
      <c r="N100" s="350">
        <f>I100</f>
        <v>683432.56004823186</v>
      </c>
      <c r="O100" s="54">
        <f t="shared" si="24"/>
        <v>0</v>
      </c>
      <c r="P100" s="54">
        <f t="shared" si="25"/>
        <v>0</v>
      </c>
    </row>
    <row r="101" spans="1:16">
      <c r="B101" s="7" t="str">
        <f t="shared" ref="B101:B154" si="27">IF(D101=F100,"","IU")</f>
        <v/>
      </c>
      <c r="C101" s="50">
        <f>IF(D93="","-",+C100+1)</f>
        <v>2021</v>
      </c>
      <c r="D101" s="411">
        <v>4848412.75</v>
      </c>
      <c r="E101" s="412">
        <v>123380</v>
      </c>
      <c r="F101" s="413">
        <v>4725032.75</v>
      </c>
      <c r="G101" s="413">
        <v>4786722.75</v>
      </c>
      <c r="H101" s="430">
        <v>668074.55118974927</v>
      </c>
      <c r="I101" s="431">
        <v>668074.55118974927</v>
      </c>
      <c r="J101" s="54">
        <f t="shared" si="26"/>
        <v>0</v>
      </c>
      <c r="K101" s="54"/>
      <c r="L101" s="350">
        <f>H101</f>
        <v>668074.55118974927</v>
      </c>
      <c r="M101" s="63">
        <f>IF(L101&lt;&gt;0,+H101-L101,0)</f>
        <v>0</v>
      </c>
      <c r="N101" s="350">
        <f>I101</f>
        <v>668074.55118974927</v>
      </c>
      <c r="O101" s="54">
        <f t="shared" si="24"/>
        <v>0</v>
      </c>
      <c r="P101" s="54">
        <f t="shared" si="25"/>
        <v>0</v>
      </c>
    </row>
    <row r="102" spans="1:16">
      <c r="B102" s="7" t="str">
        <f t="shared" si="27"/>
        <v>IU</v>
      </c>
      <c r="C102" s="50">
        <f>IF(D93="","-",+C101+1)</f>
        <v>2022</v>
      </c>
      <c r="D102" s="411">
        <v>4848412.75</v>
      </c>
      <c r="E102" s="412">
        <v>123380</v>
      </c>
      <c r="F102" s="413">
        <v>4725032.75</v>
      </c>
      <c r="G102" s="413">
        <v>4786722.75</v>
      </c>
      <c r="H102" s="430">
        <v>668074.55118974927</v>
      </c>
      <c r="I102" s="431">
        <v>668074.55118974927</v>
      </c>
      <c r="J102" s="54">
        <f t="shared" si="26"/>
        <v>0</v>
      </c>
      <c r="K102" s="54"/>
      <c r="L102" s="350">
        <f>H102</f>
        <v>668074.55118974927</v>
      </c>
      <c r="M102" s="63">
        <f>IF(L102&lt;&gt;0,+H102-L102,0)</f>
        <v>0</v>
      </c>
      <c r="N102" s="350">
        <f>I102</f>
        <v>668074.55118974927</v>
      </c>
      <c r="O102" s="54">
        <f t="shared" ref="O102" si="28">IF(N102&lt;&gt;0,+I102-N102,0)</f>
        <v>0</v>
      </c>
      <c r="P102" s="54">
        <f t="shared" si="25"/>
        <v>0</v>
      </c>
    </row>
    <row r="103" spans="1:16">
      <c r="B103" s="7" t="str">
        <f t="shared" si="27"/>
        <v>IU</v>
      </c>
      <c r="C103" s="50">
        <f>IF(D93="","-",+C102+1)</f>
        <v>2023</v>
      </c>
      <c r="D103" s="411">
        <v>4601652.37</v>
      </c>
      <c r="E103" s="412">
        <v>133121</v>
      </c>
      <c r="F103" s="413">
        <v>4468531.37</v>
      </c>
      <c r="G103" s="413">
        <v>4535091.87</v>
      </c>
      <c r="H103" s="430">
        <v>651151.17964586476</v>
      </c>
      <c r="I103" s="431">
        <v>651151.17964586476</v>
      </c>
      <c r="J103" s="54">
        <f t="shared" si="26"/>
        <v>0</v>
      </c>
      <c r="K103" s="54"/>
      <c r="L103" s="350">
        <f>H103</f>
        <v>651151.17964586476</v>
      </c>
      <c r="M103" s="63">
        <f>IF(L103&lt;&gt;0,+H103-L103,0)</f>
        <v>0</v>
      </c>
      <c r="N103" s="350">
        <f>I103</f>
        <v>651151.17964586476</v>
      </c>
      <c r="O103" s="54">
        <f t="shared" ref="O103" si="29">IF(N103&lt;&gt;0,+I103-N103,0)</f>
        <v>0</v>
      </c>
      <c r="P103" s="54">
        <f t="shared" si="25"/>
        <v>0</v>
      </c>
    </row>
    <row r="104" spans="1:16">
      <c r="B104" s="7" t="str">
        <f t="shared" si="27"/>
        <v/>
      </c>
      <c r="C104" s="50">
        <f>IF(D93="","-",+C103+1)</f>
        <v>2024</v>
      </c>
      <c r="D104" s="411">
        <v>4468531.37</v>
      </c>
      <c r="E104" s="412">
        <v>136719</v>
      </c>
      <c r="F104" s="413">
        <v>4331812.37</v>
      </c>
      <c r="G104" s="413">
        <v>4400171.87</v>
      </c>
      <c r="H104" s="430">
        <v>727744.40828906896</v>
      </c>
      <c r="I104" s="431">
        <v>727744.40828906896</v>
      </c>
      <c r="J104" s="54">
        <f t="shared" si="26"/>
        <v>0</v>
      </c>
      <c r="K104" s="54"/>
      <c r="L104" s="350">
        <f>H104</f>
        <v>727744.40828906896</v>
      </c>
      <c r="M104" s="63">
        <f>IF(L104&lt;&gt;0,+H104-L104,0)</f>
        <v>0</v>
      </c>
      <c r="N104" s="350">
        <f>I104</f>
        <v>727744.40828906896</v>
      </c>
      <c r="O104" s="54">
        <f t="shared" ref="O104" si="30">IF(N104&lt;&gt;0,+I104-N104,0)</f>
        <v>0</v>
      </c>
      <c r="P104" s="54">
        <f t="shared" si="25"/>
        <v>0</v>
      </c>
    </row>
    <row r="105" spans="1:16">
      <c r="B105" s="7" t="str">
        <f t="shared" si="27"/>
        <v/>
      </c>
      <c r="C105" s="50">
        <f>IF(D93="","-",+C104+1)</f>
        <v>2025</v>
      </c>
      <c r="D105" s="12">
        <f>IF(F104+SUM(E$99:E104)=D$92,F104,D$92-SUM(E$99:E104))</f>
        <v>4331812.37</v>
      </c>
      <c r="E105" s="354">
        <f t="shared" ref="E105:E154" si="31">IF(+J$96&lt;F104,J$96,D105)</f>
        <v>136719</v>
      </c>
      <c r="F105" s="55">
        <f t="shared" ref="F105:F154" si="32">+D105-E105</f>
        <v>4195093.37</v>
      </c>
      <c r="G105" s="55">
        <f t="shared" ref="G105:G154" si="33">+(F105+D105)/2</f>
        <v>4263452.87</v>
      </c>
      <c r="H105" s="355">
        <f t="shared" ref="H105:H153" si="34">(D105+F105)/2*J$94+E105</f>
        <v>646717.86527193757</v>
      </c>
      <c r="I105" s="381">
        <f t="shared" ref="I105:I153" si="35">+J$95*G105+E105</f>
        <v>646717.86527193757</v>
      </c>
      <c r="J105" s="54">
        <f t="shared" si="26"/>
        <v>0</v>
      </c>
      <c r="K105" s="54"/>
      <c r="L105" s="115"/>
      <c r="M105" s="54">
        <f t="shared" ref="M105:M130" si="36">IF(L105&lt;&gt;0,+H105-L105,0)</f>
        <v>0</v>
      </c>
      <c r="N105" s="115"/>
      <c r="O105" s="54">
        <f t="shared" si="24"/>
        <v>0</v>
      </c>
      <c r="P105" s="54">
        <f t="shared" si="25"/>
        <v>0</v>
      </c>
    </row>
    <row r="106" spans="1:16">
      <c r="B106" s="7" t="str">
        <f t="shared" si="27"/>
        <v/>
      </c>
      <c r="C106" s="50">
        <f>IF(D93="","-",+C105+1)</f>
        <v>2026</v>
      </c>
      <c r="D106" s="12">
        <f>IF(F105+SUM(E$99:E105)=D$92,F105,D$92-SUM(E$99:E105))</f>
        <v>4195093.37</v>
      </c>
      <c r="E106" s="354">
        <f t="shared" si="31"/>
        <v>136719</v>
      </c>
      <c r="F106" s="55">
        <f t="shared" si="32"/>
        <v>4058374.37</v>
      </c>
      <c r="G106" s="55">
        <f t="shared" si="33"/>
        <v>4126733.87</v>
      </c>
      <c r="H106" s="355">
        <f t="shared" si="34"/>
        <v>630363.38992362353</v>
      </c>
      <c r="I106" s="381">
        <f t="shared" si="35"/>
        <v>630363.38992362353</v>
      </c>
      <c r="J106" s="54">
        <f t="shared" si="26"/>
        <v>0</v>
      </c>
      <c r="K106" s="54"/>
      <c r="L106" s="115"/>
      <c r="M106" s="54">
        <f t="shared" si="36"/>
        <v>0</v>
      </c>
      <c r="N106" s="115"/>
      <c r="O106" s="54">
        <f t="shared" si="24"/>
        <v>0</v>
      </c>
      <c r="P106" s="54">
        <f t="shared" si="25"/>
        <v>0</v>
      </c>
    </row>
    <row r="107" spans="1:16">
      <c r="B107" s="7" t="str">
        <f t="shared" si="27"/>
        <v/>
      </c>
      <c r="C107" s="50">
        <f>IF(D93="","-",+C106+1)</f>
        <v>2027</v>
      </c>
      <c r="D107" s="12">
        <f>IF(F106+SUM(E$99:E106)=D$92,F106,D$92-SUM(E$99:E106))</f>
        <v>4058374.37</v>
      </c>
      <c r="E107" s="354">
        <f t="shared" si="31"/>
        <v>136719</v>
      </c>
      <c r="F107" s="55">
        <f t="shared" si="32"/>
        <v>3921655.37</v>
      </c>
      <c r="G107" s="55">
        <f t="shared" si="33"/>
        <v>3990014.87</v>
      </c>
      <c r="H107" s="355">
        <f t="shared" si="34"/>
        <v>614008.91457530949</v>
      </c>
      <c r="I107" s="381">
        <f t="shared" si="35"/>
        <v>614008.91457530949</v>
      </c>
      <c r="J107" s="54">
        <f t="shared" si="26"/>
        <v>0</v>
      </c>
      <c r="K107" s="54"/>
      <c r="L107" s="115"/>
      <c r="M107" s="54">
        <f t="shared" si="36"/>
        <v>0</v>
      </c>
      <c r="N107" s="115"/>
      <c r="O107" s="54">
        <f t="shared" si="24"/>
        <v>0</v>
      </c>
      <c r="P107" s="54">
        <f t="shared" si="25"/>
        <v>0</v>
      </c>
    </row>
    <row r="108" spans="1:16">
      <c r="B108" s="7" t="str">
        <f t="shared" si="27"/>
        <v/>
      </c>
      <c r="C108" s="50">
        <f>IF(D93="","-",+C107+1)</f>
        <v>2028</v>
      </c>
      <c r="D108" s="12">
        <f>IF(F107+SUM(E$99:E107)=D$92,F107,D$92-SUM(E$99:E107))</f>
        <v>3921655.37</v>
      </c>
      <c r="E108" s="354">
        <f t="shared" si="31"/>
        <v>136719</v>
      </c>
      <c r="F108" s="55">
        <f t="shared" si="32"/>
        <v>3784936.37</v>
      </c>
      <c r="G108" s="55">
        <f t="shared" si="33"/>
        <v>3853295.87</v>
      </c>
      <c r="H108" s="355">
        <f t="shared" si="34"/>
        <v>597654.43922699534</v>
      </c>
      <c r="I108" s="381">
        <f t="shared" si="35"/>
        <v>597654.43922699534</v>
      </c>
      <c r="J108" s="54">
        <f t="shared" si="26"/>
        <v>0</v>
      </c>
      <c r="K108" s="54"/>
      <c r="L108" s="115"/>
      <c r="M108" s="54">
        <f t="shared" si="36"/>
        <v>0</v>
      </c>
      <c r="N108" s="115"/>
      <c r="O108" s="54">
        <f t="shared" si="24"/>
        <v>0</v>
      </c>
      <c r="P108" s="54">
        <f t="shared" si="25"/>
        <v>0</v>
      </c>
    </row>
    <row r="109" spans="1:16">
      <c r="B109" s="7" t="str">
        <f t="shared" si="27"/>
        <v/>
      </c>
      <c r="C109" s="50">
        <f>IF(D93="","-",+C108+1)</f>
        <v>2029</v>
      </c>
      <c r="D109" s="12">
        <f>IF(F108+SUM(E$99:E108)=D$92,F108,D$92-SUM(E$99:E108))</f>
        <v>3784936.37</v>
      </c>
      <c r="E109" s="354">
        <f t="shared" si="31"/>
        <v>136719</v>
      </c>
      <c r="F109" s="55">
        <f t="shared" si="32"/>
        <v>3648217.37</v>
      </c>
      <c r="G109" s="55">
        <f t="shared" si="33"/>
        <v>3716576.87</v>
      </c>
      <c r="H109" s="355">
        <f t="shared" si="34"/>
        <v>581299.96387868118</v>
      </c>
      <c r="I109" s="381">
        <f t="shared" si="35"/>
        <v>581299.96387868118</v>
      </c>
      <c r="J109" s="54">
        <f t="shared" si="26"/>
        <v>0</v>
      </c>
      <c r="K109" s="54"/>
      <c r="L109" s="115"/>
      <c r="M109" s="54">
        <f t="shared" si="36"/>
        <v>0</v>
      </c>
      <c r="N109" s="115"/>
      <c r="O109" s="54">
        <f t="shared" si="24"/>
        <v>0</v>
      </c>
      <c r="P109" s="54">
        <f t="shared" si="25"/>
        <v>0</v>
      </c>
    </row>
    <row r="110" spans="1:16">
      <c r="B110" s="7" t="str">
        <f t="shared" si="27"/>
        <v/>
      </c>
      <c r="C110" s="50">
        <f>IF(D93="","-",+C109+1)</f>
        <v>2030</v>
      </c>
      <c r="D110" s="12">
        <f>IF(F109+SUM(E$99:E109)=D$92,F109,D$92-SUM(E$99:E109))</f>
        <v>3648217.37</v>
      </c>
      <c r="E110" s="354">
        <f t="shared" si="31"/>
        <v>136719</v>
      </c>
      <c r="F110" s="55">
        <f t="shared" si="32"/>
        <v>3511498.37</v>
      </c>
      <c r="G110" s="55">
        <f t="shared" si="33"/>
        <v>3579857.87</v>
      </c>
      <c r="H110" s="355">
        <f t="shared" si="34"/>
        <v>564945.48853036715</v>
      </c>
      <c r="I110" s="381">
        <f t="shared" si="35"/>
        <v>564945.48853036715</v>
      </c>
      <c r="J110" s="54">
        <f t="shared" si="26"/>
        <v>0</v>
      </c>
      <c r="K110" s="54"/>
      <c r="L110" s="115"/>
      <c r="M110" s="54">
        <f t="shared" si="36"/>
        <v>0</v>
      </c>
      <c r="N110" s="115"/>
      <c r="O110" s="54">
        <f t="shared" si="24"/>
        <v>0</v>
      </c>
      <c r="P110" s="54">
        <f t="shared" si="25"/>
        <v>0</v>
      </c>
    </row>
    <row r="111" spans="1:16">
      <c r="B111" s="7" t="str">
        <f t="shared" si="27"/>
        <v/>
      </c>
      <c r="C111" s="50">
        <f>IF(D93="","-",+C110+1)</f>
        <v>2031</v>
      </c>
      <c r="D111" s="12">
        <f>IF(F110+SUM(E$99:E110)=D$92,F110,D$92-SUM(E$99:E110))</f>
        <v>3511498.37</v>
      </c>
      <c r="E111" s="354">
        <f t="shared" si="31"/>
        <v>136719</v>
      </c>
      <c r="F111" s="55">
        <f t="shared" si="32"/>
        <v>3374779.37</v>
      </c>
      <c r="G111" s="55">
        <f t="shared" si="33"/>
        <v>3443138.87</v>
      </c>
      <c r="H111" s="355">
        <f t="shared" si="34"/>
        <v>548591.01318205299</v>
      </c>
      <c r="I111" s="381">
        <f t="shared" si="35"/>
        <v>548591.01318205299</v>
      </c>
      <c r="J111" s="54">
        <f t="shared" si="26"/>
        <v>0</v>
      </c>
      <c r="K111" s="54"/>
      <c r="L111" s="115"/>
      <c r="M111" s="54">
        <f t="shared" si="36"/>
        <v>0</v>
      </c>
      <c r="N111" s="115"/>
      <c r="O111" s="54">
        <f t="shared" si="24"/>
        <v>0</v>
      </c>
      <c r="P111" s="54">
        <f t="shared" si="25"/>
        <v>0</v>
      </c>
    </row>
    <row r="112" spans="1:16">
      <c r="B112" s="7" t="str">
        <f t="shared" si="27"/>
        <v/>
      </c>
      <c r="C112" s="50">
        <f>IF(D93="","-",+C111+1)</f>
        <v>2032</v>
      </c>
      <c r="D112" s="12">
        <f>IF(F111+SUM(E$99:E111)=D$92,F111,D$92-SUM(E$99:E111))</f>
        <v>3374779.37</v>
      </c>
      <c r="E112" s="354">
        <f t="shared" si="31"/>
        <v>136719</v>
      </c>
      <c r="F112" s="55">
        <f t="shared" si="32"/>
        <v>3238060.37</v>
      </c>
      <c r="G112" s="55">
        <f t="shared" si="33"/>
        <v>3306419.87</v>
      </c>
      <c r="H112" s="355">
        <f t="shared" si="34"/>
        <v>532236.53783373884</v>
      </c>
      <c r="I112" s="381">
        <f t="shared" si="35"/>
        <v>532236.53783373884</v>
      </c>
      <c r="J112" s="54">
        <f t="shared" si="26"/>
        <v>0</v>
      </c>
      <c r="K112" s="54"/>
      <c r="L112" s="115"/>
      <c r="M112" s="54">
        <f t="shared" si="36"/>
        <v>0</v>
      </c>
      <c r="N112" s="115"/>
      <c r="O112" s="54">
        <f t="shared" si="24"/>
        <v>0</v>
      </c>
      <c r="P112" s="54">
        <f t="shared" si="25"/>
        <v>0</v>
      </c>
    </row>
    <row r="113" spans="2:16">
      <c r="B113" s="7" t="str">
        <f t="shared" si="27"/>
        <v/>
      </c>
      <c r="C113" s="50">
        <f>IF(D93="","-",+C112+1)</f>
        <v>2033</v>
      </c>
      <c r="D113" s="12">
        <f>IF(F112+SUM(E$99:E112)=D$92,F112,D$92-SUM(E$99:E112))</f>
        <v>3238060.37</v>
      </c>
      <c r="E113" s="354">
        <f t="shared" si="31"/>
        <v>136719</v>
      </c>
      <c r="F113" s="55">
        <f t="shared" si="32"/>
        <v>3101341.37</v>
      </c>
      <c r="G113" s="55">
        <f t="shared" si="33"/>
        <v>3169700.87</v>
      </c>
      <c r="H113" s="355">
        <f t="shared" si="34"/>
        <v>515882.06248542474</v>
      </c>
      <c r="I113" s="381">
        <f t="shared" si="35"/>
        <v>515882.06248542474</v>
      </c>
      <c r="J113" s="54">
        <f t="shared" si="26"/>
        <v>0</v>
      </c>
      <c r="K113" s="54"/>
      <c r="L113" s="115"/>
      <c r="M113" s="54">
        <f t="shared" si="36"/>
        <v>0</v>
      </c>
      <c r="N113" s="115"/>
      <c r="O113" s="54">
        <f t="shared" si="24"/>
        <v>0</v>
      </c>
      <c r="P113" s="54">
        <f t="shared" si="25"/>
        <v>0</v>
      </c>
    </row>
    <row r="114" spans="2:16">
      <c r="B114" s="7" t="str">
        <f t="shared" si="27"/>
        <v/>
      </c>
      <c r="C114" s="50">
        <f>IF(D93="","-",+C113+1)</f>
        <v>2034</v>
      </c>
      <c r="D114" s="12">
        <f>IF(F113+SUM(E$99:E113)=D$92,F113,D$92-SUM(E$99:E113))</f>
        <v>3101341.37</v>
      </c>
      <c r="E114" s="354">
        <f t="shared" si="31"/>
        <v>136719</v>
      </c>
      <c r="F114" s="55">
        <f t="shared" si="32"/>
        <v>2964622.37</v>
      </c>
      <c r="G114" s="55">
        <f t="shared" si="33"/>
        <v>3032981.87</v>
      </c>
      <c r="H114" s="355">
        <f t="shared" si="34"/>
        <v>499527.58713711065</v>
      </c>
      <c r="I114" s="381">
        <f t="shared" si="35"/>
        <v>499527.58713711065</v>
      </c>
      <c r="J114" s="54">
        <f t="shared" si="26"/>
        <v>0</v>
      </c>
      <c r="K114" s="54"/>
      <c r="L114" s="115"/>
      <c r="M114" s="54">
        <f t="shared" si="36"/>
        <v>0</v>
      </c>
      <c r="N114" s="115"/>
      <c r="O114" s="54">
        <f t="shared" si="24"/>
        <v>0</v>
      </c>
      <c r="P114" s="54">
        <f t="shared" si="25"/>
        <v>0</v>
      </c>
    </row>
    <row r="115" spans="2:16">
      <c r="B115" s="7" t="str">
        <f t="shared" si="27"/>
        <v/>
      </c>
      <c r="C115" s="50">
        <f>IF(D93="","-",+C114+1)</f>
        <v>2035</v>
      </c>
      <c r="D115" s="12">
        <f>IF(F114+SUM(E$99:E114)=D$92,F114,D$92-SUM(E$99:E114))</f>
        <v>2964622.37</v>
      </c>
      <c r="E115" s="354">
        <f t="shared" si="31"/>
        <v>136719</v>
      </c>
      <c r="F115" s="55">
        <f t="shared" si="32"/>
        <v>2827903.37</v>
      </c>
      <c r="G115" s="55">
        <f t="shared" si="33"/>
        <v>2896262.87</v>
      </c>
      <c r="H115" s="355">
        <f t="shared" si="34"/>
        <v>483173.11178879655</v>
      </c>
      <c r="I115" s="381">
        <f t="shared" si="35"/>
        <v>483173.11178879655</v>
      </c>
      <c r="J115" s="54">
        <f t="shared" si="26"/>
        <v>0</v>
      </c>
      <c r="K115" s="54"/>
      <c r="L115" s="115"/>
      <c r="M115" s="54">
        <f t="shared" si="36"/>
        <v>0</v>
      </c>
      <c r="N115" s="115"/>
      <c r="O115" s="54">
        <f t="shared" si="24"/>
        <v>0</v>
      </c>
      <c r="P115" s="54">
        <f t="shared" si="25"/>
        <v>0</v>
      </c>
    </row>
    <row r="116" spans="2:16">
      <c r="B116" s="7" t="str">
        <f t="shared" si="27"/>
        <v/>
      </c>
      <c r="C116" s="50">
        <f>IF(D93="","-",+C115+1)</f>
        <v>2036</v>
      </c>
      <c r="D116" s="12">
        <f>IF(F115+SUM(E$99:E115)=D$92,F115,D$92-SUM(E$99:E115))</f>
        <v>2827903.37</v>
      </c>
      <c r="E116" s="354">
        <f t="shared" si="31"/>
        <v>136719</v>
      </c>
      <c r="F116" s="55">
        <f t="shared" si="32"/>
        <v>2691184.37</v>
      </c>
      <c r="G116" s="55">
        <f t="shared" si="33"/>
        <v>2759543.87</v>
      </c>
      <c r="H116" s="355">
        <f t="shared" si="34"/>
        <v>466818.63644048246</v>
      </c>
      <c r="I116" s="381">
        <f t="shared" si="35"/>
        <v>466818.63644048246</v>
      </c>
      <c r="J116" s="54">
        <f t="shared" si="26"/>
        <v>0</v>
      </c>
      <c r="K116" s="54"/>
      <c r="L116" s="115"/>
      <c r="M116" s="54">
        <f t="shared" si="36"/>
        <v>0</v>
      </c>
      <c r="N116" s="115"/>
      <c r="O116" s="54">
        <f t="shared" si="24"/>
        <v>0</v>
      </c>
      <c r="P116" s="54">
        <f t="shared" si="25"/>
        <v>0</v>
      </c>
    </row>
    <row r="117" spans="2:16">
      <c r="B117" s="7" t="str">
        <f t="shared" si="27"/>
        <v/>
      </c>
      <c r="C117" s="50">
        <f>IF(D93="","-",+C116+1)</f>
        <v>2037</v>
      </c>
      <c r="D117" s="12">
        <f>IF(F116+SUM(E$99:E116)=D$92,F116,D$92-SUM(E$99:E116))</f>
        <v>2691184.37</v>
      </c>
      <c r="E117" s="354">
        <f t="shared" si="31"/>
        <v>136719</v>
      </c>
      <c r="F117" s="55">
        <f t="shared" si="32"/>
        <v>2554465.37</v>
      </c>
      <c r="G117" s="55">
        <f t="shared" si="33"/>
        <v>2622824.87</v>
      </c>
      <c r="H117" s="355">
        <f t="shared" si="34"/>
        <v>450464.1610921683</v>
      </c>
      <c r="I117" s="381">
        <f t="shared" si="35"/>
        <v>450464.1610921683</v>
      </c>
      <c r="J117" s="54">
        <f t="shared" si="26"/>
        <v>0</v>
      </c>
      <c r="K117" s="54"/>
      <c r="L117" s="115"/>
      <c r="M117" s="54">
        <f t="shared" si="36"/>
        <v>0</v>
      </c>
      <c r="N117" s="115"/>
      <c r="O117" s="54">
        <f t="shared" si="24"/>
        <v>0</v>
      </c>
      <c r="P117" s="54">
        <f t="shared" si="25"/>
        <v>0</v>
      </c>
    </row>
    <row r="118" spans="2:16">
      <c r="B118" s="7" t="str">
        <f t="shared" si="27"/>
        <v/>
      </c>
      <c r="C118" s="50">
        <f>IF(D93="","-",+C117+1)</f>
        <v>2038</v>
      </c>
      <c r="D118" s="12">
        <f>IF(F117+SUM(E$99:E117)=D$92,F117,D$92-SUM(E$99:E117))</f>
        <v>2554465.37</v>
      </c>
      <c r="E118" s="354">
        <f t="shared" si="31"/>
        <v>136719</v>
      </c>
      <c r="F118" s="55">
        <f t="shared" si="32"/>
        <v>2417746.37</v>
      </c>
      <c r="G118" s="55">
        <f t="shared" si="33"/>
        <v>2486105.87</v>
      </c>
      <c r="H118" s="355">
        <f t="shared" si="34"/>
        <v>434109.68574385421</v>
      </c>
      <c r="I118" s="381">
        <f t="shared" si="35"/>
        <v>434109.68574385421</v>
      </c>
      <c r="J118" s="54">
        <f t="shared" si="26"/>
        <v>0</v>
      </c>
      <c r="K118" s="54"/>
      <c r="L118" s="115"/>
      <c r="M118" s="54">
        <f t="shared" si="36"/>
        <v>0</v>
      </c>
      <c r="N118" s="115"/>
      <c r="O118" s="54">
        <f t="shared" si="24"/>
        <v>0</v>
      </c>
      <c r="P118" s="54">
        <f t="shared" si="25"/>
        <v>0</v>
      </c>
    </row>
    <row r="119" spans="2:16">
      <c r="B119" s="7" t="str">
        <f t="shared" si="27"/>
        <v/>
      </c>
      <c r="C119" s="50">
        <f>IF(D93="","-",+C118+1)</f>
        <v>2039</v>
      </c>
      <c r="D119" s="12">
        <f>IF(F118+SUM(E$99:E118)=D$92,F118,D$92-SUM(E$99:E118))</f>
        <v>2417746.37</v>
      </c>
      <c r="E119" s="354">
        <f t="shared" si="31"/>
        <v>136719</v>
      </c>
      <c r="F119" s="55">
        <f t="shared" si="32"/>
        <v>2281027.37</v>
      </c>
      <c r="G119" s="55">
        <f t="shared" si="33"/>
        <v>2349386.87</v>
      </c>
      <c r="H119" s="355">
        <f t="shared" si="34"/>
        <v>417755.21039554011</v>
      </c>
      <c r="I119" s="381">
        <f t="shared" si="35"/>
        <v>417755.21039554011</v>
      </c>
      <c r="J119" s="54">
        <f t="shared" si="26"/>
        <v>0</v>
      </c>
      <c r="K119" s="54"/>
      <c r="L119" s="115"/>
      <c r="M119" s="54">
        <f t="shared" si="36"/>
        <v>0</v>
      </c>
      <c r="N119" s="115"/>
      <c r="O119" s="54">
        <f t="shared" si="24"/>
        <v>0</v>
      </c>
      <c r="P119" s="54">
        <f t="shared" si="25"/>
        <v>0</v>
      </c>
    </row>
    <row r="120" spans="2:16">
      <c r="B120" s="7" t="str">
        <f t="shared" si="27"/>
        <v/>
      </c>
      <c r="C120" s="50">
        <f>IF(D93="","-",+C119+1)</f>
        <v>2040</v>
      </c>
      <c r="D120" s="12">
        <f>IF(F119+SUM(E$99:E119)=D$92,F119,D$92-SUM(E$99:E119))</f>
        <v>2281027.37</v>
      </c>
      <c r="E120" s="354">
        <f t="shared" si="31"/>
        <v>136719</v>
      </c>
      <c r="F120" s="55">
        <f t="shared" si="32"/>
        <v>2144308.37</v>
      </c>
      <c r="G120" s="55">
        <f t="shared" si="33"/>
        <v>2212667.87</v>
      </c>
      <c r="H120" s="355">
        <f t="shared" si="34"/>
        <v>401400.73504722602</v>
      </c>
      <c r="I120" s="381">
        <f t="shared" si="35"/>
        <v>401400.73504722602</v>
      </c>
      <c r="J120" s="54">
        <f t="shared" si="26"/>
        <v>0</v>
      </c>
      <c r="K120" s="54"/>
      <c r="L120" s="115"/>
      <c r="M120" s="54">
        <f t="shared" si="36"/>
        <v>0</v>
      </c>
      <c r="N120" s="115"/>
      <c r="O120" s="54">
        <f t="shared" si="24"/>
        <v>0</v>
      </c>
      <c r="P120" s="54">
        <f t="shared" si="25"/>
        <v>0</v>
      </c>
    </row>
    <row r="121" spans="2:16">
      <c r="B121" s="7" t="str">
        <f t="shared" si="27"/>
        <v/>
      </c>
      <c r="C121" s="50">
        <f>IF(D93="","-",+C120+1)</f>
        <v>2041</v>
      </c>
      <c r="D121" s="12">
        <f>IF(F120+SUM(E$99:E120)=D$92,F120,D$92-SUM(E$99:E120))</f>
        <v>2144308.37</v>
      </c>
      <c r="E121" s="354">
        <f t="shared" si="31"/>
        <v>136719</v>
      </c>
      <c r="F121" s="55">
        <f t="shared" si="32"/>
        <v>2007589.37</v>
      </c>
      <c r="G121" s="55">
        <f t="shared" si="33"/>
        <v>2075948.87</v>
      </c>
      <c r="H121" s="355">
        <f t="shared" si="34"/>
        <v>385046.25969891192</v>
      </c>
      <c r="I121" s="381">
        <f t="shared" si="35"/>
        <v>385046.25969891192</v>
      </c>
      <c r="J121" s="54">
        <f t="shared" si="26"/>
        <v>0</v>
      </c>
      <c r="K121" s="54"/>
      <c r="L121" s="115"/>
      <c r="M121" s="54">
        <f t="shared" si="36"/>
        <v>0</v>
      </c>
      <c r="N121" s="115"/>
      <c r="O121" s="54">
        <f t="shared" si="24"/>
        <v>0</v>
      </c>
      <c r="P121" s="54">
        <f t="shared" si="25"/>
        <v>0</v>
      </c>
    </row>
    <row r="122" spans="2:16">
      <c r="B122" s="7" t="str">
        <f t="shared" si="27"/>
        <v/>
      </c>
      <c r="C122" s="50">
        <f>IF(D93="","-",+C121+1)</f>
        <v>2042</v>
      </c>
      <c r="D122" s="12">
        <f>IF(F121+SUM(E$99:E121)=D$92,F121,D$92-SUM(E$99:E121))</f>
        <v>2007589.37</v>
      </c>
      <c r="E122" s="354">
        <f t="shared" si="31"/>
        <v>136719</v>
      </c>
      <c r="F122" s="55">
        <f t="shared" si="32"/>
        <v>1870870.37</v>
      </c>
      <c r="G122" s="55">
        <f t="shared" si="33"/>
        <v>1939229.87</v>
      </c>
      <c r="H122" s="355">
        <f t="shared" si="34"/>
        <v>368691.78435059777</v>
      </c>
      <c r="I122" s="381">
        <f t="shared" si="35"/>
        <v>368691.78435059777</v>
      </c>
      <c r="J122" s="54">
        <f t="shared" si="26"/>
        <v>0</v>
      </c>
      <c r="K122" s="54"/>
      <c r="L122" s="115"/>
      <c r="M122" s="54">
        <f t="shared" si="36"/>
        <v>0</v>
      </c>
      <c r="N122" s="115"/>
      <c r="O122" s="54">
        <f t="shared" si="24"/>
        <v>0</v>
      </c>
      <c r="P122" s="54">
        <f t="shared" si="25"/>
        <v>0</v>
      </c>
    </row>
    <row r="123" spans="2:16">
      <c r="B123" s="7" t="str">
        <f t="shared" si="27"/>
        <v/>
      </c>
      <c r="C123" s="50">
        <f>IF(D93="","-",+C122+1)</f>
        <v>2043</v>
      </c>
      <c r="D123" s="12">
        <f>IF(F122+SUM(E$99:E122)=D$92,F122,D$92-SUM(E$99:E122))</f>
        <v>1870870.37</v>
      </c>
      <c r="E123" s="354">
        <f t="shared" si="31"/>
        <v>136719</v>
      </c>
      <c r="F123" s="55">
        <f t="shared" si="32"/>
        <v>1734151.37</v>
      </c>
      <c r="G123" s="55">
        <f t="shared" si="33"/>
        <v>1802510.87</v>
      </c>
      <c r="H123" s="355">
        <f t="shared" si="34"/>
        <v>352337.30900228367</v>
      </c>
      <c r="I123" s="381">
        <f t="shared" si="35"/>
        <v>352337.30900228367</v>
      </c>
      <c r="J123" s="54">
        <f t="shared" si="26"/>
        <v>0</v>
      </c>
      <c r="K123" s="54"/>
      <c r="L123" s="115"/>
      <c r="M123" s="54">
        <f t="shared" si="36"/>
        <v>0</v>
      </c>
      <c r="N123" s="115"/>
      <c r="O123" s="54">
        <f t="shared" si="24"/>
        <v>0</v>
      </c>
      <c r="P123" s="54">
        <f t="shared" si="25"/>
        <v>0</v>
      </c>
    </row>
    <row r="124" spans="2:16">
      <c r="B124" s="7" t="str">
        <f t="shared" si="27"/>
        <v/>
      </c>
      <c r="C124" s="50">
        <f>IF(D93="","-",+C123+1)</f>
        <v>2044</v>
      </c>
      <c r="D124" s="12">
        <f>IF(F123+SUM(E$99:E123)=D$92,F123,D$92-SUM(E$99:E123))</f>
        <v>1734151.37</v>
      </c>
      <c r="E124" s="354">
        <f t="shared" si="31"/>
        <v>136719</v>
      </c>
      <c r="F124" s="55">
        <f t="shared" si="32"/>
        <v>1597432.37</v>
      </c>
      <c r="G124" s="55">
        <f t="shared" si="33"/>
        <v>1665791.87</v>
      </c>
      <c r="H124" s="355">
        <f t="shared" si="34"/>
        <v>335982.83365396957</v>
      </c>
      <c r="I124" s="381">
        <f t="shared" si="35"/>
        <v>335982.83365396957</v>
      </c>
      <c r="J124" s="54">
        <f t="shared" si="26"/>
        <v>0</v>
      </c>
      <c r="K124" s="54"/>
      <c r="L124" s="115"/>
      <c r="M124" s="54">
        <f t="shared" si="36"/>
        <v>0</v>
      </c>
      <c r="N124" s="115"/>
      <c r="O124" s="54">
        <f t="shared" si="24"/>
        <v>0</v>
      </c>
      <c r="P124" s="54">
        <f t="shared" si="25"/>
        <v>0</v>
      </c>
    </row>
    <row r="125" spans="2:16">
      <c r="B125" s="7" t="str">
        <f t="shared" si="27"/>
        <v/>
      </c>
      <c r="C125" s="50">
        <f>IF(D93="","-",+C124+1)</f>
        <v>2045</v>
      </c>
      <c r="D125" s="12">
        <f>IF(F124+SUM(E$99:E124)=D$92,F124,D$92-SUM(E$99:E124))</f>
        <v>1597432.37</v>
      </c>
      <c r="E125" s="354">
        <f t="shared" si="31"/>
        <v>136719</v>
      </c>
      <c r="F125" s="55">
        <f t="shared" si="32"/>
        <v>1460713.37</v>
      </c>
      <c r="G125" s="55">
        <f t="shared" si="33"/>
        <v>1529072.87</v>
      </c>
      <c r="H125" s="355">
        <f t="shared" si="34"/>
        <v>319628.35830565542</v>
      </c>
      <c r="I125" s="381">
        <f t="shared" si="35"/>
        <v>319628.35830565542</v>
      </c>
      <c r="J125" s="54">
        <f t="shared" si="26"/>
        <v>0</v>
      </c>
      <c r="K125" s="54"/>
      <c r="L125" s="115"/>
      <c r="M125" s="54">
        <f t="shared" si="36"/>
        <v>0</v>
      </c>
      <c r="N125" s="115"/>
      <c r="O125" s="54">
        <f t="shared" si="24"/>
        <v>0</v>
      </c>
      <c r="P125" s="54">
        <f t="shared" si="25"/>
        <v>0</v>
      </c>
    </row>
    <row r="126" spans="2:16">
      <c r="B126" s="7" t="str">
        <f t="shared" si="27"/>
        <v/>
      </c>
      <c r="C126" s="50">
        <f>IF(D93="","-",+C125+1)</f>
        <v>2046</v>
      </c>
      <c r="D126" s="12">
        <f>IF(F125+SUM(E$99:E125)=D$92,F125,D$92-SUM(E$99:E125))</f>
        <v>1460713.37</v>
      </c>
      <c r="E126" s="354">
        <f t="shared" si="31"/>
        <v>136719</v>
      </c>
      <c r="F126" s="55">
        <f t="shared" si="32"/>
        <v>1323994.3700000001</v>
      </c>
      <c r="G126" s="55">
        <f t="shared" si="33"/>
        <v>1392353.87</v>
      </c>
      <c r="H126" s="355">
        <f t="shared" si="34"/>
        <v>303273.88295734132</v>
      </c>
      <c r="I126" s="381">
        <f t="shared" si="35"/>
        <v>303273.88295734132</v>
      </c>
      <c r="J126" s="54">
        <f t="shared" si="26"/>
        <v>0</v>
      </c>
      <c r="K126" s="54"/>
      <c r="L126" s="115"/>
      <c r="M126" s="54">
        <f t="shared" si="36"/>
        <v>0</v>
      </c>
      <c r="N126" s="115"/>
      <c r="O126" s="54">
        <f t="shared" si="24"/>
        <v>0</v>
      </c>
      <c r="P126" s="54">
        <f t="shared" si="25"/>
        <v>0</v>
      </c>
    </row>
    <row r="127" spans="2:16">
      <c r="B127" s="7" t="str">
        <f t="shared" si="27"/>
        <v/>
      </c>
      <c r="C127" s="50">
        <f>IF(D93="","-",+C126+1)</f>
        <v>2047</v>
      </c>
      <c r="D127" s="12">
        <f>IF(F126+SUM(E$99:E126)=D$92,F126,D$92-SUM(E$99:E126))</f>
        <v>1323994.3700000001</v>
      </c>
      <c r="E127" s="354">
        <f t="shared" si="31"/>
        <v>136719</v>
      </c>
      <c r="F127" s="55">
        <f t="shared" si="32"/>
        <v>1187275.3700000001</v>
      </c>
      <c r="G127" s="55">
        <f t="shared" si="33"/>
        <v>1255634.8700000001</v>
      </c>
      <c r="H127" s="355">
        <f t="shared" si="34"/>
        <v>286919.40760902723</v>
      </c>
      <c r="I127" s="381">
        <f t="shared" si="35"/>
        <v>286919.40760902723</v>
      </c>
      <c r="J127" s="54">
        <f t="shared" si="26"/>
        <v>0</v>
      </c>
      <c r="K127" s="54"/>
      <c r="L127" s="115"/>
      <c r="M127" s="54">
        <f t="shared" si="36"/>
        <v>0</v>
      </c>
      <c r="N127" s="115"/>
      <c r="O127" s="54">
        <f t="shared" si="24"/>
        <v>0</v>
      </c>
      <c r="P127" s="54">
        <f t="shared" si="25"/>
        <v>0</v>
      </c>
    </row>
    <row r="128" spans="2:16">
      <c r="B128" s="7" t="str">
        <f t="shared" si="27"/>
        <v/>
      </c>
      <c r="C128" s="50">
        <f>IF(D93="","-",+C127+1)</f>
        <v>2048</v>
      </c>
      <c r="D128" s="12">
        <f>IF(F127+SUM(E$99:E127)=D$92,F127,D$92-SUM(E$99:E127))</f>
        <v>1187275.3700000001</v>
      </c>
      <c r="E128" s="354">
        <f t="shared" si="31"/>
        <v>136719</v>
      </c>
      <c r="F128" s="55">
        <f t="shared" si="32"/>
        <v>1050556.3700000001</v>
      </c>
      <c r="G128" s="55">
        <f t="shared" si="33"/>
        <v>1118915.8700000001</v>
      </c>
      <c r="H128" s="355">
        <f t="shared" si="34"/>
        <v>270564.93226071313</v>
      </c>
      <c r="I128" s="381">
        <f t="shared" si="35"/>
        <v>270564.93226071313</v>
      </c>
      <c r="J128" s="54">
        <f t="shared" si="26"/>
        <v>0</v>
      </c>
      <c r="K128" s="54"/>
      <c r="L128" s="115"/>
      <c r="M128" s="54">
        <f t="shared" si="36"/>
        <v>0</v>
      </c>
      <c r="N128" s="115"/>
      <c r="O128" s="54">
        <f t="shared" si="24"/>
        <v>0</v>
      </c>
      <c r="P128" s="54">
        <f t="shared" si="25"/>
        <v>0</v>
      </c>
    </row>
    <row r="129" spans="2:16">
      <c r="B129" s="7" t="str">
        <f t="shared" si="27"/>
        <v/>
      </c>
      <c r="C129" s="50">
        <f>IF(D93="","-",+C128+1)</f>
        <v>2049</v>
      </c>
      <c r="D129" s="12">
        <f>IF(F128+SUM(E$99:E128)=D$92,F128,D$92-SUM(E$99:E128))</f>
        <v>1050556.3700000001</v>
      </c>
      <c r="E129" s="354">
        <f t="shared" si="31"/>
        <v>136719</v>
      </c>
      <c r="F129" s="55">
        <f t="shared" si="32"/>
        <v>913837.37000000011</v>
      </c>
      <c r="G129" s="55">
        <f t="shared" si="33"/>
        <v>982196.87000000011</v>
      </c>
      <c r="H129" s="355">
        <f t="shared" si="34"/>
        <v>254210.45691239901</v>
      </c>
      <c r="I129" s="381">
        <f t="shared" si="35"/>
        <v>254210.45691239901</v>
      </c>
      <c r="J129" s="54">
        <f t="shared" si="26"/>
        <v>0</v>
      </c>
      <c r="K129" s="54"/>
      <c r="L129" s="115"/>
      <c r="M129" s="54">
        <f t="shared" si="36"/>
        <v>0</v>
      </c>
      <c r="N129" s="115"/>
      <c r="O129" s="54">
        <f t="shared" si="24"/>
        <v>0</v>
      </c>
      <c r="P129" s="54">
        <f t="shared" si="25"/>
        <v>0</v>
      </c>
    </row>
    <row r="130" spans="2:16">
      <c r="B130" s="7" t="str">
        <f t="shared" si="27"/>
        <v/>
      </c>
      <c r="C130" s="50">
        <f>IF(D93="","-",+C129+1)</f>
        <v>2050</v>
      </c>
      <c r="D130" s="12">
        <f>IF(F129+SUM(E$99:E129)=D$92,F129,D$92-SUM(E$99:E129))</f>
        <v>913837.37000000011</v>
      </c>
      <c r="E130" s="354">
        <f t="shared" si="31"/>
        <v>136719</v>
      </c>
      <c r="F130" s="55">
        <f t="shared" si="32"/>
        <v>777118.37000000011</v>
      </c>
      <c r="G130" s="55">
        <f t="shared" si="33"/>
        <v>845477.87000000011</v>
      </c>
      <c r="H130" s="355">
        <f t="shared" si="34"/>
        <v>237855.98156408488</v>
      </c>
      <c r="I130" s="381">
        <f t="shared" si="35"/>
        <v>237855.98156408488</v>
      </c>
      <c r="J130" s="54">
        <f t="shared" si="26"/>
        <v>0</v>
      </c>
      <c r="K130" s="54"/>
      <c r="L130" s="115"/>
      <c r="M130" s="54">
        <f t="shared" si="36"/>
        <v>0</v>
      </c>
      <c r="N130" s="115"/>
      <c r="O130" s="54">
        <f t="shared" si="24"/>
        <v>0</v>
      </c>
      <c r="P130" s="54">
        <f t="shared" si="25"/>
        <v>0</v>
      </c>
    </row>
    <row r="131" spans="2:16">
      <c r="B131" s="7" t="str">
        <f t="shared" si="27"/>
        <v/>
      </c>
      <c r="C131" s="50">
        <f>IF(D93="","-",+C130+1)</f>
        <v>2051</v>
      </c>
      <c r="D131" s="12">
        <f>IF(F130+SUM(E$99:E130)=D$92,F130,D$92-SUM(E$99:E130))</f>
        <v>777118.37000000011</v>
      </c>
      <c r="E131" s="354">
        <f t="shared" si="31"/>
        <v>136719</v>
      </c>
      <c r="F131" s="55">
        <f t="shared" si="32"/>
        <v>640399.37000000011</v>
      </c>
      <c r="G131" s="55">
        <f t="shared" si="33"/>
        <v>708758.87000000011</v>
      </c>
      <c r="H131" s="355">
        <f t="shared" si="34"/>
        <v>221501.50621577079</v>
      </c>
      <c r="I131" s="381">
        <f t="shared" si="35"/>
        <v>221501.50621577079</v>
      </c>
      <c r="J131" s="54">
        <f t="shared" ref="J131:J154" si="37">+I541-H541</f>
        <v>0</v>
      </c>
      <c r="K131" s="54"/>
      <c r="L131" s="115"/>
      <c r="M131" s="54">
        <f t="shared" ref="M131:M154" si="38">IF(L541&lt;&gt;0,+H541-L541,0)</f>
        <v>0</v>
      </c>
      <c r="N131" s="115"/>
      <c r="O131" s="54">
        <f t="shared" ref="O131:O154" si="39">IF(N541&lt;&gt;0,+I541-N541,0)</f>
        <v>0</v>
      </c>
      <c r="P131" s="54">
        <f t="shared" ref="P131:P154" si="40">+O541-M541</f>
        <v>0</v>
      </c>
    </row>
    <row r="132" spans="2:16">
      <c r="B132" s="7" t="str">
        <f t="shared" si="27"/>
        <v/>
      </c>
      <c r="C132" s="50">
        <f>IF(D93="","-",+C131+1)</f>
        <v>2052</v>
      </c>
      <c r="D132" s="12">
        <f>IF(F131+SUM(E$99:E131)=D$92,F131,D$92-SUM(E$99:E131))</f>
        <v>640399.37000000011</v>
      </c>
      <c r="E132" s="354">
        <f t="shared" si="31"/>
        <v>136719</v>
      </c>
      <c r="F132" s="55">
        <f t="shared" si="32"/>
        <v>503680.37000000011</v>
      </c>
      <c r="G132" s="55">
        <f t="shared" si="33"/>
        <v>572039.87000000011</v>
      </c>
      <c r="H132" s="355">
        <f t="shared" si="34"/>
        <v>205147.03086745669</v>
      </c>
      <c r="I132" s="381">
        <f t="shared" si="35"/>
        <v>205147.03086745669</v>
      </c>
      <c r="J132" s="54">
        <f t="shared" si="37"/>
        <v>0</v>
      </c>
      <c r="K132" s="54"/>
      <c r="L132" s="115"/>
      <c r="M132" s="54">
        <f t="shared" si="38"/>
        <v>0</v>
      </c>
      <c r="N132" s="115"/>
      <c r="O132" s="54">
        <f t="shared" si="39"/>
        <v>0</v>
      </c>
      <c r="P132" s="54">
        <f t="shared" si="40"/>
        <v>0</v>
      </c>
    </row>
    <row r="133" spans="2:16">
      <c r="B133" s="7" t="str">
        <f t="shared" si="27"/>
        <v/>
      </c>
      <c r="C133" s="50">
        <f>IF(D93="","-",+C132+1)</f>
        <v>2053</v>
      </c>
      <c r="D133" s="12">
        <f>IF(F132+SUM(E$99:E132)=D$92,F132,D$92-SUM(E$99:E132))</f>
        <v>503680.37000000011</v>
      </c>
      <c r="E133" s="354">
        <f t="shared" si="31"/>
        <v>136719</v>
      </c>
      <c r="F133" s="55">
        <f t="shared" si="32"/>
        <v>366961.37000000011</v>
      </c>
      <c r="G133" s="55">
        <f t="shared" si="33"/>
        <v>435320.87000000011</v>
      </c>
      <c r="H133" s="355">
        <f t="shared" si="34"/>
        <v>188792.55551914257</v>
      </c>
      <c r="I133" s="381">
        <f t="shared" si="35"/>
        <v>188792.55551914257</v>
      </c>
      <c r="J133" s="54">
        <f t="shared" si="37"/>
        <v>0</v>
      </c>
      <c r="K133" s="54"/>
      <c r="L133" s="115"/>
      <c r="M133" s="54">
        <f t="shared" si="38"/>
        <v>0</v>
      </c>
      <c r="N133" s="115"/>
      <c r="O133" s="54">
        <f t="shared" si="39"/>
        <v>0</v>
      </c>
      <c r="P133" s="54">
        <f t="shared" si="40"/>
        <v>0</v>
      </c>
    </row>
    <row r="134" spans="2:16">
      <c r="B134" s="7" t="str">
        <f t="shared" si="27"/>
        <v/>
      </c>
      <c r="C134" s="50">
        <f>IF(D93="","-",+C133+1)</f>
        <v>2054</v>
      </c>
      <c r="D134" s="12">
        <f>IF(F133+SUM(E$99:E133)=D$92,F133,D$92-SUM(E$99:E133))</f>
        <v>366961.37000000011</v>
      </c>
      <c r="E134" s="354">
        <f t="shared" si="31"/>
        <v>136719</v>
      </c>
      <c r="F134" s="55">
        <f t="shared" si="32"/>
        <v>230242.37000000011</v>
      </c>
      <c r="G134" s="55">
        <f t="shared" si="33"/>
        <v>298601.87000000011</v>
      </c>
      <c r="H134" s="355">
        <f t="shared" si="34"/>
        <v>172438.08017082847</v>
      </c>
      <c r="I134" s="381">
        <f t="shared" si="35"/>
        <v>172438.08017082847</v>
      </c>
      <c r="J134" s="54">
        <f t="shared" si="37"/>
        <v>0</v>
      </c>
      <c r="K134" s="54"/>
      <c r="L134" s="115"/>
      <c r="M134" s="54">
        <f t="shared" si="38"/>
        <v>0</v>
      </c>
      <c r="N134" s="115"/>
      <c r="O134" s="54">
        <f t="shared" si="39"/>
        <v>0</v>
      </c>
      <c r="P134" s="54">
        <f t="shared" si="40"/>
        <v>0</v>
      </c>
    </row>
    <row r="135" spans="2:16">
      <c r="B135" s="7" t="str">
        <f t="shared" si="27"/>
        <v/>
      </c>
      <c r="C135" s="50">
        <f>IF(D93="","-",+C134+1)</f>
        <v>2055</v>
      </c>
      <c r="D135" s="12">
        <f>IF(F134+SUM(E$99:E134)=D$92,F134,D$92-SUM(E$99:E134))</f>
        <v>230242.37000000011</v>
      </c>
      <c r="E135" s="354">
        <f t="shared" si="31"/>
        <v>136719</v>
      </c>
      <c r="F135" s="55">
        <f t="shared" si="32"/>
        <v>93523.370000000112</v>
      </c>
      <c r="G135" s="55">
        <f t="shared" si="33"/>
        <v>161882.87000000011</v>
      </c>
      <c r="H135" s="355">
        <f t="shared" si="34"/>
        <v>156083.60482251435</v>
      </c>
      <c r="I135" s="381">
        <f t="shared" si="35"/>
        <v>156083.60482251435</v>
      </c>
      <c r="J135" s="54">
        <f t="shared" si="37"/>
        <v>0</v>
      </c>
      <c r="K135" s="54"/>
      <c r="L135" s="115"/>
      <c r="M135" s="54">
        <f t="shared" si="38"/>
        <v>0</v>
      </c>
      <c r="N135" s="115"/>
      <c r="O135" s="54">
        <f t="shared" si="39"/>
        <v>0</v>
      </c>
      <c r="P135" s="54">
        <f t="shared" si="40"/>
        <v>0</v>
      </c>
    </row>
    <row r="136" spans="2:16">
      <c r="B136" s="7" t="str">
        <f t="shared" si="27"/>
        <v/>
      </c>
      <c r="C136" s="50">
        <f>IF(D93="","-",+C135+1)</f>
        <v>2056</v>
      </c>
      <c r="D136" s="12">
        <f>IF(F135+SUM(E$99:E135)=D$92,F135,D$92-SUM(E$99:E135))</f>
        <v>93523.370000000112</v>
      </c>
      <c r="E136" s="354">
        <f t="shared" si="31"/>
        <v>93523.370000000112</v>
      </c>
      <c r="F136" s="55">
        <f t="shared" si="32"/>
        <v>0</v>
      </c>
      <c r="G136" s="55">
        <f t="shared" si="33"/>
        <v>46761.685000000056</v>
      </c>
      <c r="H136" s="355">
        <f t="shared" si="34"/>
        <v>99117.053574178761</v>
      </c>
      <c r="I136" s="381">
        <f t="shared" si="35"/>
        <v>99117.053574178761</v>
      </c>
      <c r="J136" s="54">
        <f t="shared" si="37"/>
        <v>0</v>
      </c>
      <c r="K136" s="54"/>
      <c r="L136" s="115"/>
      <c r="M136" s="54">
        <f t="shared" si="38"/>
        <v>0</v>
      </c>
      <c r="N136" s="115"/>
      <c r="O136" s="54">
        <f t="shared" si="39"/>
        <v>0</v>
      </c>
      <c r="P136" s="54">
        <f t="shared" si="40"/>
        <v>0</v>
      </c>
    </row>
    <row r="137" spans="2:16">
      <c r="B137" s="7" t="str">
        <f t="shared" si="27"/>
        <v/>
      </c>
      <c r="C137" s="50">
        <f>IF(D93="","-",+C136+1)</f>
        <v>2057</v>
      </c>
      <c r="D137" s="12">
        <f>IF(F136+SUM(E$99:E136)=D$92,F136,D$92-SUM(E$99:E136))</f>
        <v>0</v>
      </c>
      <c r="E137" s="354">
        <f t="shared" si="31"/>
        <v>0</v>
      </c>
      <c r="F137" s="55">
        <f t="shared" si="32"/>
        <v>0</v>
      </c>
      <c r="G137" s="55">
        <f t="shared" si="33"/>
        <v>0</v>
      </c>
      <c r="H137" s="355">
        <f t="shared" si="34"/>
        <v>0</v>
      </c>
      <c r="I137" s="381">
        <f t="shared" si="35"/>
        <v>0</v>
      </c>
      <c r="J137" s="54">
        <f t="shared" si="37"/>
        <v>0</v>
      </c>
      <c r="K137" s="54"/>
      <c r="L137" s="115"/>
      <c r="M137" s="54">
        <f t="shared" si="38"/>
        <v>0</v>
      </c>
      <c r="N137" s="115"/>
      <c r="O137" s="54">
        <f t="shared" si="39"/>
        <v>0</v>
      </c>
      <c r="P137" s="54">
        <f t="shared" si="40"/>
        <v>0</v>
      </c>
    </row>
    <row r="138" spans="2:16">
      <c r="B138" s="7" t="str">
        <f t="shared" si="27"/>
        <v/>
      </c>
      <c r="C138" s="50">
        <f>IF(D93="","-",+C137+1)</f>
        <v>2058</v>
      </c>
      <c r="D138" s="12">
        <f>IF(F137+SUM(E$99:E137)=D$92,F137,D$92-SUM(E$99:E137))</f>
        <v>0</v>
      </c>
      <c r="E138" s="354">
        <f t="shared" si="31"/>
        <v>0</v>
      </c>
      <c r="F138" s="55">
        <f t="shared" si="32"/>
        <v>0</v>
      </c>
      <c r="G138" s="55">
        <f t="shared" si="33"/>
        <v>0</v>
      </c>
      <c r="H138" s="355">
        <f t="shared" si="34"/>
        <v>0</v>
      </c>
      <c r="I138" s="381">
        <f t="shared" si="35"/>
        <v>0</v>
      </c>
      <c r="J138" s="54">
        <f t="shared" si="37"/>
        <v>0</v>
      </c>
      <c r="K138" s="54"/>
      <c r="L138" s="115"/>
      <c r="M138" s="54">
        <f t="shared" si="38"/>
        <v>0</v>
      </c>
      <c r="N138" s="115"/>
      <c r="O138" s="54">
        <f t="shared" si="39"/>
        <v>0</v>
      </c>
      <c r="P138" s="54">
        <f t="shared" si="40"/>
        <v>0</v>
      </c>
    </row>
    <row r="139" spans="2:16">
      <c r="B139" s="7" t="str">
        <f t="shared" si="27"/>
        <v/>
      </c>
      <c r="C139" s="50">
        <f>IF(D93="","-",+C138+1)</f>
        <v>2059</v>
      </c>
      <c r="D139" s="12">
        <f>IF(F138+SUM(E$99:E138)=D$92,F138,D$92-SUM(E$99:E138))</f>
        <v>0</v>
      </c>
      <c r="E139" s="354">
        <f t="shared" si="31"/>
        <v>0</v>
      </c>
      <c r="F139" s="55">
        <f t="shared" si="32"/>
        <v>0</v>
      </c>
      <c r="G139" s="55">
        <f t="shared" si="33"/>
        <v>0</v>
      </c>
      <c r="H139" s="355">
        <f t="shared" si="34"/>
        <v>0</v>
      </c>
      <c r="I139" s="381">
        <f t="shared" si="35"/>
        <v>0</v>
      </c>
      <c r="J139" s="54">
        <f t="shared" si="37"/>
        <v>0</v>
      </c>
      <c r="K139" s="54"/>
      <c r="L139" s="115"/>
      <c r="M139" s="54">
        <f t="shared" si="38"/>
        <v>0</v>
      </c>
      <c r="N139" s="115"/>
      <c r="O139" s="54">
        <f t="shared" si="39"/>
        <v>0</v>
      </c>
      <c r="P139" s="54">
        <f t="shared" si="40"/>
        <v>0</v>
      </c>
    </row>
    <row r="140" spans="2:16">
      <c r="B140" s="7" t="str">
        <f t="shared" si="27"/>
        <v/>
      </c>
      <c r="C140" s="50">
        <f>IF(D93="","-",+C139+1)</f>
        <v>2060</v>
      </c>
      <c r="D140" s="12">
        <f>IF(F139+SUM(E$99:E139)=D$92,F139,D$92-SUM(E$99:E139))</f>
        <v>0</v>
      </c>
      <c r="E140" s="354">
        <f t="shared" si="31"/>
        <v>0</v>
      </c>
      <c r="F140" s="55">
        <f t="shared" si="32"/>
        <v>0</v>
      </c>
      <c r="G140" s="55">
        <f t="shared" si="33"/>
        <v>0</v>
      </c>
      <c r="H140" s="355">
        <f t="shared" si="34"/>
        <v>0</v>
      </c>
      <c r="I140" s="381">
        <f t="shared" si="35"/>
        <v>0</v>
      </c>
      <c r="J140" s="54">
        <f t="shared" si="37"/>
        <v>0</v>
      </c>
      <c r="K140" s="54"/>
      <c r="L140" s="115"/>
      <c r="M140" s="54">
        <f t="shared" si="38"/>
        <v>0</v>
      </c>
      <c r="N140" s="115"/>
      <c r="O140" s="54">
        <f t="shared" si="39"/>
        <v>0</v>
      </c>
      <c r="P140" s="54">
        <f t="shared" si="40"/>
        <v>0</v>
      </c>
    </row>
    <row r="141" spans="2:16">
      <c r="B141" s="7" t="str">
        <f t="shared" si="27"/>
        <v/>
      </c>
      <c r="C141" s="50">
        <f>IF(D93="","-",+C140+1)</f>
        <v>2061</v>
      </c>
      <c r="D141" s="12">
        <f>IF(F140+SUM(E$99:E140)=D$92,F140,D$92-SUM(E$99:E140))</f>
        <v>0</v>
      </c>
      <c r="E141" s="354">
        <f t="shared" si="31"/>
        <v>0</v>
      </c>
      <c r="F141" s="55">
        <f t="shared" si="32"/>
        <v>0</v>
      </c>
      <c r="G141" s="55">
        <f t="shared" si="33"/>
        <v>0</v>
      </c>
      <c r="H141" s="355">
        <f t="shared" si="34"/>
        <v>0</v>
      </c>
      <c r="I141" s="381">
        <f t="shared" si="35"/>
        <v>0</v>
      </c>
      <c r="J141" s="54">
        <f t="shared" si="37"/>
        <v>0</v>
      </c>
      <c r="K141" s="54"/>
      <c r="L141" s="115"/>
      <c r="M141" s="54">
        <f t="shared" si="38"/>
        <v>0</v>
      </c>
      <c r="N141" s="115"/>
      <c r="O141" s="54">
        <f t="shared" si="39"/>
        <v>0</v>
      </c>
      <c r="P141" s="54">
        <f t="shared" si="40"/>
        <v>0</v>
      </c>
    </row>
    <row r="142" spans="2:16">
      <c r="B142" s="7" t="str">
        <f t="shared" si="27"/>
        <v/>
      </c>
      <c r="C142" s="50">
        <f>IF(D93="","-",+C141+1)</f>
        <v>2062</v>
      </c>
      <c r="D142" s="12">
        <f>IF(F141+SUM(E$99:E141)=D$92,F141,D$92-SUM(E$99:E141))</f>
        <v>0</v>
      </c>
      <c r="E142" s="354">
        <f t="shared" si="31"/>
        <v>0</v>
      </c>
      <c r="F142" s="55">
        <f t="shared" si="32"/>
        <v>0</v>
      </c>
      <c r="G142" s="55">
        <f t="shared" si="33"/>
        <v>0</v>
      </c>
      <c r="H142" s="355">
        <f t="shared" si="34"/>
        <v>0</v>
      </c>
      <c r="I142" s="381">
        <f t="shared" si="35"/>
        <v>0</v>
      </c>
      <c r="J142" s="54">
        <f t="shared" si="37"/>
        <v>0</v>
      </c>
      <c r="K142" s="54"/>
      <c r="L142" s="115"/>
      <c r="M142" s="54">
        <f t="shared" si="38"/>
        <v>0</v>
      </c>
      <c r="N142" s="115"/>
      <c r="O142" s="54">
        <f t="shared" si="39"/>
        <v>0</v>
      </c>
      <c r="P142" s="54">
        <f t="shared" si="40"/>
        <v>0</v>
      </c>
    </row>
    <row r="143" spans="2:16">
      <c r="B143" s="7" t="str">
        <f t="shared" si="27"/>
        <v/>
      </c>
      <c r="C143" s="50">
        <f>IF(D93="","-",+C142+1)</f>
        <v>2063</v>
      </c>
      <c r="D143" s="12">
        <f>IF(F142+SUM(E$99:E142)=D$92,F142,D$92-SUM(E$99:E142))</f>
        <v>0</v>
      </c>
      <c r="E143" s="354">
        <f t="shared" si="31"/>
        <v>0</v>
      </c>
      <c r="F143" s="55">
        <f t="shared" si="32"/>
        <v>0</v>
      </c>
      <c r="G143" s="55">
        <f t="shared" si="33"/>
        <v>0</v>
      </c>
      <c r="H143" s="355">
        <f t="shared" si="34"/>
        <v>0</v>
      </c>
      <c r="I143" s="381">
        <f t="shared" si="35"/>
        <v>0</v>
      </c>
      <c r="J143" s="54">
        <f t="shared" si="37"/>
        <v>0</v>
      </c>
      <c r="K143" s="54"/>
      <c r="L143" s="115"/>
      <c r="M143" s="54">
        <f t="shared" si="38"/>
        <v>0</v>
      </c>
      <c r="N143" s="115"/>
      <c r="O143" s="54">
        <f t="shared" si="39"/>
        <v>0</v>
      </c>
      <c r="P143" s="54">
        <f t="shared" si="40"/>
        <v>0</v>
      </c>
    </row>
    <row r="144" spans="2:16">
      <c r="B144" s="7" t="str">
        <f t="shared" si="27"/>
        <v/>
      </c>
      <c r="C144" s="50">
        <f>IF(D93="","-",+C143+1)</f>
        <v>2064</v>
      </c>
      <c r="D144" s="12">
        <f>IF(F143+SUM(E$99:E143)=D$92,F143,D$92-SUM(E$99:E143))</f>
        <v>0</v>
      </c>
      <c r="E144" s="354">
        <f t="shared" si="31"/>
        <v>0</v>
      </c>
      <c r="F144" s="55">
        <f t="shared" si="32"/>
        <v>0</v>
      </c>
      <c r="G144" s="55">
        <f t="shared" si="33"/>
        <v>0</v>
      </c>
      <c r="H144" s="355">
        <f t="shared" si="34"/>
        <v>0</v>
      </c>
      <c r="I144" s="381">
        <f t="shared" si="35"/>
        <v>0</v>
      </c>
      <c r="J144" s="54">
        <f t="shared" si="37"/>
        <v>0</v>
      </c>
      <c r="K144" s="54"/>
      <c r="L144" s="115"/>
      <c r="M144" s="54">
        <f t="shared" si="38"/>
        <v>0</v>
      </c>
      <c r="N144" s="115"/>
      <c r="O144" s="54">
        <f t="shared" si="39"/>
        <v>0</v>
      </c>
      <c r="P144" s="54">
        <f t="shared" si="40"/>
        <v>0</v>
      </c>
    </row>
    <row r="145" spans="2:16">
      <c r="B145" s="7" t="str">
        <f t="shared" si="27"/>
        <v/>
      </c>
      <c r="C145" s="50">
        <f>IF(D93="","-",+C144+1)</f>
        <v>2065</v>
      </c>
      <c r="D145" s="12">
        <f>IF(F144+SUM(E$99:E144)=D$92,F144,D$92-SUM(E$99:E144))</f>
        <v>0</v>
      </c>
      <c r="E145" s="354">
        <f t="shared" si="31"/>
        <v>0</v>
      </c>
      <c r="F145" s="55">
        <f t="shared" si="32"/>
        <v>0</v>
      </c>
      <c r="G145" s="55">
        <f t="shared" si="33"/>
        <v>0</v>
      </c>
      <c r="H145" s="355">
        <f t="shared" si="34"/>
        <v>0</v>
      </c>
      <c r="I145" s="381">
        <f t="shared" si="35"/>
        <v>0</v>
      </c>
      <c r="J145" s="54">
        <f t="shared" si="37"/>
        <v>0</v>
      </c>
      <c r="K145" s="54"/>
      <c r="L145" s="115"/>
      <c r="M145" s="54">
        <f t="shared" si="38"/>
        <v>0</v>
      </c>
      <c r="N145" s="115"/>
      <c r="O145" s="54">
        <f t="shared" si="39"/>
        <v>0</v>
      </c>
      <c r="P145" s="54">
        <f t="shared" si="40"/>
        <v>0</v>
      </c>
    </row>
    <row r="146" spans="2:16">
      <c r="B146" s="7" t="str">
        <f t="shared" si="27"/>
        <v/>
      </c>
      <c r="C146" s="50">
        <f>IF(D93="","-",+C145+1)</f>
        <v>2066</v>
      </c>
      <c r="D146" s="12">
        <f>IF(F145+SUM(E$99:E145)=D$92,F145,D$92-SUM(E$99:E145))</f>
        <v>0</v>
      </c>
      <c r="E146" s="354">
        <f t="shared" si="31"/>
        <v>0</v>
      </c>
      <c r="F146" s="55">
        <f t="shared" si="32"/>
        <v>0</v>
      </c>
      <c r="G146" s="55">
        <f t="shared" si="33"/>
        <v>0</v>
      </c>
      <c r="H146" s="355">
        <f t="shared" si="34"/>
        <v>0</v>
      </c>
      <c r="I146" s="381">
        <f t="shared" si="35"/>
        <v>0</v>
      </c>
      <c r="J146" s="54">
        <f t="shared" si="37"/>
        <v>0</v>
      </c>
      <c r="K146" s="54"/>
      <c r="L146" s="115"/>
      <c r="M146" s="54">
        <f t="shared" si="38"/>
        <v>0</v>
      </c>
      <c r="N146" s="115"/>
      <c r="O146" s="54">
        <f t="shared" si="39"/>
        <v>0</v>
      </c>
      <c r="P146" s="54">
        <f t="shared" si="40"/>
        <v>0</v>
      </c>
    </row>
    <row r="147" spans="2:16">
      <c r="B147" s="7" t="str">
        <f t="shared" si="27"/>
        <v/>
      </c>
      <c r="C147" s="50">
        <f>IF(D93="","-",+C146+1)</f>
        <v>2067</v>
      </c>
      <c r="D147" s="12">
        <f>IF(F146+SUM(E$99:E146)=D$92,F146,D$92-SUM(E$99:E146))</f>
        <v>0</v>
      </c>
      <c r="E147" s="354">
        <f t="shared" si="31"/>
        <v>0</v>
      </c>
      <c r="F147" s="55">
        <f t="shared" si="32"/>
        <v>0</v>
      </c>
      <c r="G147" s="55">
        <f t="shared" si="33"/>
        <v>0</v>
      </c>
      <c r="H147" s="355">
        <f t="shared" si="34"/>
        <v>0</v>
      </c>
      <c r="I147" s="381">
        <f t="shared" si="35"/>
        <v>0</v>
      </c>
      <c r="J147" s="54">
        <f t="shared" si="37"/>
        <v>0</v>
      </c>
      <c r="K147" s="54"/>
      <c r="L147" s="115"/>
      <c r="M147" s="54">
        <f t="shared" si="38"/>
        <v>0</v>
      </c>
      <c r="N147" s="115"/>
      <c r="O147" s="54">
        <f t="shared" si="39"/>
        <v>0</v>
      </c>
      <c r="P147" s="54">
        <f t="shared" si="40"/>
        <v>0</v>
      </c>
    </row>
    <row r="148" spans="2:16">
      <c r="B148" s="7" t="str">
        <f t="shared" si="27"/>
        <v/>
      </c>
      <c r="C148" s="50">
        <f>IF(D93="","-",+C147+1)</f>
        <v>2068</v>
      </c>
      <c r="D148" s="12">
        <f>IF(F147+SUM(E$99:E147)=D$92,F147,D$92-SUM(E$99:E147))</f>
        <v>0</v>
      </c>
      <c r="E148" s="354">
        <f t="shared" si="31"/>
        <v>0</v>
      </c>
      <c r="F148" s="55">
        <f t="shared" si="32"/>
        <v>0</v>
      </c>
      <c r="G148" s="55">
        <f t="shared" si="33"/>
        <v>0</v>
      </c>
      <c r="H148" s="355">
        <f t="shared" si="34"/>
        <v>0</v>
      </c>
      <c r="I148" s="381">
        <f t="shared" si="35"/>
        <v>0</v>
      </c>
      <c r="J148" s="54">
        <f t="shared" si="37"/>
        <v>0</v>
      </c>
      <c r="K148" s="54"/>
      <c r="L148" s="115"/>
      <c r="M148" s="54">
        <f t="shared" si="38"/>
        <v>0</v>
      </c>
      <c r="N148" s="115"/>
      <c r="O148" s="54">
        <f t="shared" si="39"/>
        <v>0</v>
      </c>
      <c r="P148" s="54">
        <f t="shared" si="40"/>
        <v>0</v>
      </c>
    </row>
    <row r="149" spans="2:16">
      <c r="B149" s="7" t="str">
        <f t="shared" si="27"/>
        <v/>
      </c>
      <c r="C149" s="50">
        <f>IF(D93="","-",+C148+1)</f>
        <v>2069</v>
      </c>
      <c r="D149" s="12">
        <f>IF(F148+SUM(E$99:E148)=D$92,F148,D$92-SUM(E$99:E148))</f>
        <v>0</v>
      </c>
      <c r="E149" s="354">
        <f t="shared" si="31"/>
        <v>0</v>
      </c>
      <c r="F149" s="55">
        <f t="shared" si="32"/>
        <v>0</v>
      </c>
      <c r="G149" s="55">
        <f t="shared" si="33"/>
        <v>0</v>
      </c>
      <c r="H149" s="355">
        <f t="shared" si="34"/>
        <v>0</v>
      </c>
      <c r="I149" s="381">
        <f t="shared" si="35"/>
        <v>0</v>
      </c>
      <c r="J149" s="54">
        <f t="shared" si="37"/>
        <v>0</v>
      </c>
      <c r="K149" s="54"/>
      <c r="L149" s="115"/>
      <c r="M149" s="54">
        <f t="shared" si="38"/>
        <v>0</v>
      </c>
      <c r="N149" s="115"/>
      <c r="O149" s="54">
        <f t="shared" si="39"/>
        <v>0</v>
      </c>
      <c r="P149" s="54">
        <f t="shared" si="40"/>
        <v>0</v>
      </c>
    </row>
    <row r="150" spans="2:16">
      <c r="B150" s="7" t="str">
        <f t="shared" si="27"/>
        <v/>
      </c>
      <c r="C150" s="50">
        <f>IF(D93="","-",+C149+1)</f>
        <v>2070</v>
      </c>
      <c r="D150" s="12">
        <f>IF(F149+SUM(E$99:E149)=D$92,F149,D$92-SUM(E$99:E149))</f>
        <v>0</v>
      </c>
      <c r="E150" s="354">
        <f t="shared" si="31"/>
        <v>0</v>
      </c>
      <c r="F150" s="55">
        <f t="shared" si="32"/>
        <v>0</v>
      </c>
      <c r="G150" s="55">
        <f t="shared" si="33"/>
        <v>0</v>
      </c>
      <c r="H150" s="355">
        <f t="shared" si="34"/>
        <v>0</v>
      </c>
      <c r="I150" s="381">
        <f t="shared" si="35"/>
        <v>0</v>
      </c>
      <c r="J150" s="54">
        <f t="shared" si="37"/>
        <v>0</v>
      </c>
      <c r="K150" s="54"/>
      <c r="L150" s="115"/>
      <c r="M150" s="54">
        <f t="shared" si="38"/>
        <v>0</v>
      </c>
      <c r="N150" s="115"/>
      <c r="O150" s="54">
        <f t="shared" si="39"/>
        <v>0</v>
      </c>
      <c r="P150" s="54">
        <f t="shared" si="40"/>
        <v>0</v>
      </c>
    </row>
    <row r="151" spans="2:16">
      <c r="B151" s="7" t="str">
        <f t="shared" si="27"/>
        <v/>
      </c>
      <c r="C151" s="50">
        <f>IF(D93="","-",+C150+1)</f>
        <v>2071</v>
      </c>
      <c r="D151" s="12">
        <f>IF(F150+SUM(E$99:E150)=D$92,F150,D$92-SUM(E$99:E150))</f>
        <v>0</v>
      </c>
      <c r="E151" s="354">
        <f t="shared" si="31"/>
        <v>0</v>
      </c>
      <c r="F151" s="55">
        <f t="shared" si="32"/>
        <v>0</v>
      </c>
      <c r="G151" s="55">
        <f t="shared" si="33"/>
        <v>0</v>
      </c>
      <c r="H151" s="355">
        <f t="shared" si="34"/>
        <v>0</v>
      </c>
      <c r="I151" s="381">
        <f t="shared" si="35"/>
        <v>0</v>
      </c>
      <c r="J151" s="54">
        <f t="shared" si="37"/>
        <v>0</v>
      </c>
      <c r="K151" s="54"/>
      <c r="L151" s="115"/>
      <c r="M151" s="54">
        <f t="shared" si="38"/>
        <v>0</v>
      </c>
      <c r="N151" s="115"/>
      <c r="O151" s="54">
        <f t="shared" si="39"/>
        <v>0</v>
      </c>
      <c r="P151" s="54">
        <f t="shared" si="40"/>
        <v>0</v>
      </c>
    </row>
    <row r="152" spans="2:16">
      <c r="B152" s="7" t="str">
        <f t="shared" si="27"/>
        <v/>
      </c>
      <c r="C152" s="50">
        <f>IF(D93="","-",+C151+1)</f>
        <v>2072</v>
      </c>
      <c r="D152" s="12">
        <f>IF(F151+SUM(E$99:E151)=D$92,F151,D$92-SUM(E$99:E151))</f>
        <v>0</v>
      </c>
      <c r="E152" s="354">
        <f t="shared" si="31"/>
        <v>0</v>
      </c>
      <c r="F152" s="55">
        <f t="shared" si="32"/>
        <v>0</v>
      </c>
      <c r="G152" s="55">
        <f t="shared" si="33"/>
        <v>0</v>
      </c>
      <c r="H152" s="355">
        <f t="shared" si="34"/>
        <v>0</v>
      </c>
      <c r="I152" s="381">
        <f t="shared" si="35"/>
        <v>0</v>
      </c>
      <c r="J152" s="54">
        <f t="shared" si="37"/>
        <v>0</v>
      </c>
      <c r="K152" s="54"/>
      <c r="L152" s="115"/>
      <c r="M152" s="54">
        <f t="shared" si="38"/>
        <v>0</v>
      </c>
      <c r="N152" s="115"/>
      <c r="O152" s="54">
        <f t="shared" si="39"/>
        <v>0</v>
      </c>
      <c r="P152" s="54">
        <f t="shared" si="40"/>
        <v>0</v>
      </c>
    </row>
    <row r="153" spans="2:16">
      <c r="B153" s="7" t="str">
        <f t="shared" si="27"/>
        <v/>
      </c>
      <c r="C153" s="50">
        <f>IF(D93="","-",+C152+1)</f>
        <v>2073</v>
      </c>
      <c r="D153" s="12">
        <f>IF(F152+SUM(E$99:E152)=D$92,F152,D$92-SUM(E$99:E152))</f>
        <v>0</v>
      </c>
      <c r="E153" s="354">
        <f t="shared" si="31"/>
        <v>0</v>
      </c>
      <c r="F153" s="55">
        <f t="shared" si="32"/>
        <v>0</v>
      </c>
      <c r="G153" s="55">
        <f t="shared" si="33"/>
        <v>0</v>
      </c>
      <c r="H153" s="355">
        <f t="shared" si="34"/>
        <v>0</v>
      </c>
      <c r="I153" s="381">
        <f t="shared" si="35"/>
        <v>0</v>
      </c>
      <c r="J153" s="54">
        <f t="shared" si="37"/>
        <v>0</v>
      </c>
      <c r="K153" s="54"/>
      <c r="L153" s="115"/>
      <c r="M153" s="54">
        <f t="shared" si="38"/>
        <v>0</v>
      </c>
      <c r="N153" s="115"/>
      <c r="O153" s="54">
        <f t="shared" si="39"/>
        <v>0</v>
      </c>
      <c r="P153" s="54">
        <f t="shared" si="40"/>
        <v>0</v>
      </c>
    </row>
    <row r="154" spans="2:16" ht="13.5" thickBot="1">
      <c r="B154" s="7" t="str">
        <f t="shared" si="27"/>
        <v/>
      </c>
      <c r="C154" s="58">
        <f>IF(D93="","-",+C153+1)</f>
        <v>2074</v>
      </c>
      <c r="D154" s="82">
        <f>IF(F153+SUM(E$99:E153)=D$92,F153,D$92-SUM(E$99:E153))</f>
        <v>0</v>
      </c>
      <c r="E154" s="357">
        <f t="shared" si="31"/>
        <v>0</v>
      </c>
      <c r="F154" s="59">
        <f t="shared" si="32"/>
        <v>0</v>
      </c>
      <c r="G154" s="59">
        <f t="shared" si="33"/>
        <v>0</v>
      </c>
      <c r="H154" s="435">
        <f t="shared" ref="H154" si="41">+J$94*G154+E154</f>
        <v>0</v>
      </c>
      <c r="I154" s="436">
        <f t="shared" ref="I154" si="42">+J$95*G154+E154</f>
        <v>0</v>
      </c>
      <c r="J154" s="62">
        <f t="shared" si="37"/>
        <v>0</v>
      </c>
      <c r="K154" s="54"/>
      <c r="L154" s="116"/>
      <c r="M154" s="62">
        <f t="shared" si="38"/>
        <v>0</v>
      </c>
      <c r="N154" s="116"/>
      <c r="O154" s="62">
        <f t="shared" si="39"/>
        <v>0</v>
      </c>
      <c r="P154" s="62">
        <f t="shared" si="40"/>
        <v>0</v>
      </c>
    </row>
    <row r="155" spans="2:16">
      <c r="C155" s="12" t="s">
        <v>77</v>
      </c>
      <c r="D155" s="266"/>
      <c r="E155" s="266">
        <f>SUM(E99:E154)</f>
        <v>5058588.62</v>
      </c>
      <c r="F155" s="266"/>
      <c r="G155" s="266"/>
      <c r="H155" s="266">
        <f>SUM(H99:H154)</f>
        <v>16289582.835585644</v>
      </c>
      <c r="I155" s="266">
        <f>SUM(I99:I154)</f>
        <v>16289582.835585644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1" priority="1" stopIfTrue="1" operator="equal">
      <formula>$I$10</formula>
    </cfRule>
  </conditionalFormatting>
  <conditionalFormatting sqref="C99:C154">
    <cfRule type="cellIs" dxfId="2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162"/>
  <sheetViews>
    <sheetView zoomScale="86" zoomScaleNormal="86" workbookViewId="0">
      <selection activeCell="D93" sqref="D93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28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301567.41938226245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301567.41938226245</v>
      </c>
      <c r="O6" s="1"/>
      <c r="P6" s="1"/>
    </row>
    <row r="7" spans="1:16" ht="13.5" thickBot="1">
      <c r="C7" s="26" t="s">
        <v>46</v>
      </c>
      <c r="D7" s="437" t="s">
        <v>331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334</v>
      </c>
      <c r="E9" s="438" t="s">
        <v>335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35">
        <v>2394352.8200000003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2020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63009.284736842113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2020</v>
      </c>
      <c r="D17" s="439">
        <v>0</v>
      </c>
      <c r="E17" s="440">
        <v>19964.285714285714</v>
      </c>
      <c r="F17" s="441">
        <v>1657035.7142857143</v>
      </c>
      <c r="G17" s="440">
        <v>109448.17204091245</v>
      </c>
      <c r="H17" s="442">
        <v>109448.17204091245</v>
      </c>
      <c r="I17" s="52">
        <f>H17-G17</f>
        <v>0</v>
      </c>
      <c r="J17" s="52"/>
      <c r="K17" s="117">
        <f t="shared" ref="K17:K22" si="0">+G17</f>
        <v>109448.17204091245</v>
      </c>
      <c r="L17" s="53">
        <f t="shared" ref="L17:L18" si="1">IF(K17&lt;&gt;0,+G17-K17,0)</f>
        <v>0</v>
      </c>
      <c r="M17" s="117">
        <f t="shared" ref="M17:M22" si="2">+H17</f>
        <v>109448.17204091245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2021</v>
      </c>
      <c r="D18" s="348">
        <v>2325985.7142857141</v>
      </c>
      <c r="E18" s="352">
        <v>54556.976744186046</v>
      </c>
      <c r="F18" s="348">
        <v>2271428.737541528</v>
      </c>
      <c r="G18" s="352">
        <v>302407.38707255269</v>
      </c>
      <c r="H18" s="353">
        <v>302407.38707255269</v>
      </c>
      <c r="I18" s="52">
        <f>H18-G18</f>
        <v>0</v>
      </c>
      <c r="J18" s="52"/>
      <c r="K18" s="446">
        <f t="shared" si="0"/>
        <v>302407.38707255269</v>
      </c>
      <c r="L18" s="446">
        <f t="shared" si="1"/>
        <v>0</v>
      </c>
      <c r="M18" s="446">
        <f t="shared" si="2"/>
        <v>302407.38707255269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>IU</v>
      </c>
      <c r="C19" s="50">
        <f>IF(D11="","-",+C18+1)</f>
        <v>2022</v>
      </c>
      <c r="D19" s="348">
        <v>2462567.7375415284</v>
      </c>
      <c r="E19" s="352">
        <v>60406.880952380954</v>
      </c>
      <c r="F19" s="348">
        <v>2402160.8565891474</v>
      </c>
      <c r="G19" s="352">
        <v>322643.1060760754</v>
      </c>
      <c r="H19" s="353">
        <v>322643.1060760754</v>
      </c>
      <c r="I19" s="52">
        <f t="shared" ref="I19:I71" si="5">H19-G19</f>
        <v>0</v>
      </c>
      <c r="J19" s="52"/>
      <c r="K19" s="446">
        <f t="shared" si="0"/>
        <v>322643.1060760754</v>
      </c>
      <c r="L19" s="446">
        <f t="shared" ref="L19" si="6">IF(K19&lt;&gt;0,+G19-K19,0)</f>
        <v>0</v>
      </c>
      <c r="M19" s="446">
        <f t="shared" si="2"/>
        <v>322643.1060760754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2023</v>
      </c>
      <c r="D20" s="348">
        <v>2401460.3765891474</v>
      </c>
      <c r="E20" s="352">
        <v>65035.603076923078</v>
      </c>
      <c r="F20" s="348">
        <v>2336424.7735122242</v>
      </c>
      <c r="G20" s="352">
        <v>347790.10300118127</v>
      </c>
      <c r="H20" s="353">
        <v>347790.10300118127</v>
      </c>
      <c r="I20" s="52">
        <f t="shared" si="5"/>
        <v>0</v>
      </c>
      <c r="J20" s="52"/>
      <c r="K20" s="446">
        <f t="shared" si="0"/>
        <v>347790.10300118127</v>
      </c>
      <c r="L20" s="446">
        <f t="shared" ref="L20" si="8">IF(K20&lt;&gt;0,+G20-K20,0)</f>
        <v>0</v>
      </c>
      <c r="M20" s="446">
        <f t="shared" si="2"/>
        <v>347790.10300118127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7"/>
        <v>IU</v>
      </c>
      <c r="C21" s="50">
        <f>IF(D11="","-",+C20+1)</f>
        <v>2024</v>
      </c>
      <c r="D21" s="348">
        <v>2194830.2535122242</v>
      </c>
      <c r="E21" s="352">
        <v>63020.894736842107</v>
      </c>
      <c r="F21" s="348">
        <v>2131809.3587753819</v>
      </c>
      <c r="G21" s="352">
        <v>309077.29528227838</v>
      </c>
      <c r="H21" s="353">
        <v>309077.29528227838</v>
      </c>
      <c r="I21" s="52">
        <f t="shared" si="5"/>
        <v>0</v>
      </c>
      <c r="J21" s="52"/>
      <c r="K21" s="446">
        <f t="shared" si="0"/>
        <v>309077.29528227838</v>
      </c>
      <c r="L21" s="446">
        <f t="shared" ref="L21" si="9">IF(K21&lt;&gt;0,+G21-K21,0)</f>
        <v>0</v>
      </c>
      <c r="M21" s="446">
        <f t="shared" si="2"/>
        <v>309077.29528227838</v>
      </c>
      <c r="N21" s="54">
        <f t="shared" ref="N21" si="10">IF(M21&lt;&gt;0,+H21-M21,0)</f>
        <v>0</v>
      </c>
      <c r="O21" s="54">
        <f t="shared" ref="O21" si="11">+N21-L21</f>
        <v>0</v>
      </c>
      <c r="P21" s="1"/>
    </row>
    <row r="22" spans="2:16">
      <c r="B22" s="7" t="str">
        <f t="shared" si="7"/>
        <v>IU</v>
      </c>
      <c r="C22" s="50">
        <f>IF(D11="","-",+C21+1)</f>
        <v>2025</v>
      </c>
      <c r="D22" s="348">
        <v>2131368.1787753822</v>
      </c>
      <c r="E22" s="352">
        <v>63009.284736842113</v>
      </c>
      <c r="F22" s="348">
        <v>2068358.8940385401</v>
      </c>
      <c r="G22" s="352">
        <v>301567.41938226245</v>
      </c>
      <c r="H22" s="353">
        <v>301567.41938226245</v>
      </c>
      <c r="I22" s="52">
        <f t="shared" si="5"/>
        <v>0</v>
      </c>
      <c r="J22" s="52"/>
      <c r="K22" s="446">
        <f t="shared" si="0"/>
        <v>301567.41938226245</v>
      </c>
      <c r="L22" s="446">
        <f t="shared" ref="L22" si="12">IF(K22&lt;&gt;0,+G22-K22,0)</f>
        <v>0</v>
      </c>
      <c r="M22" s="446">
        <f t="shared" si="2"/>
        <v>301567.41938226245</v>
      </c>
      <c r="N22" s="54">
        <f t="shared" ref="N22" si="13">IF(M22&lt;&gt;0,+H22-M22,0)</f>
        <v>0</v>
      </c>
      <c r="O22" s="54">
        <f t="shared" ref="O22" si="14">+N22-L22</f>
        <v>0</v>
      </c>
      <c r="P22" s="1"/>
    </row>
    <row r="23" spans="2:16">
      <c r="B23" s="7" t="str">
        <f t="shared" si="7"/>
        <v/>
      </c>
      <c r="C23" s="50">
        <f>IF(D11="","-",+C22+1)</f>
        <v>2026</v>
      </c>
      <c r="D23" s="55">
        <f>IF(F22+SUM(E$17:E22)=D$10,F22,D$10-SUM(E$17:E22))</f>
        <v>2068358.8940385401</v>
      </c>
      <c r="E23" s="354">
        <f t="shared" ref="E23:E71" si="15">IF(+I$14&lt;F22,I$14,D23)</f>
        <v>63009.284736842113</v>
      </c>
      <c r="F23" s="55">
        <f t="shared" ref="F23:F71" si="16">+D23-E23</f>
        <v>2005349.6093016979</v>
      </c>
      <c r="G23" s="355">
        <f t="shared" ref="G23:G71" si="17">(D23+F23)/2*I$12+E23</f>
        <v>294409.15544198605</v>
      </c>
      <c r="H23" s="336">
        <f t="shared" ref="H23:H71" si="18">+(D23+F23)/2*I$13+E23</f>
        <v>294409.15544198605</v>
      </c>
      <c r="I23" s="52">
        <f t="shared" si="5"/>
        <v>0</v>
      </c>
      <c r="J23" s="52"/>
      <c r="K23" s="115"/>
      <c r="L23" s="54">
        <f t="shared" ref="L23:L72" si="19">IF(K23&lt;&gt;0,+G23-K23,0)</f>
        <v>0</v>
      </c>
      <c r="M23" s="115"/>
      <c r="N23" s="54">
        <f t="shared" si="3"/>
        <v>0</v>
      </c>
      <c r="O23" s="54">
        <f t="shared" si="4"/>
        <v>0</v>
      </c>
      <c r="P23" s="1"/>
    </row>
    <row r="24" spans="2:16">
      <c r="B24" s="7" t="str">
        <f t="shared" si="7"/>
        <v/>
      </c>
      <c r="C24" s="50">
        <f>IF(D11="","-",+C23+1)</f>
        <v>2027</v>
      </c>
      <c r="D24" s="55">
        <f>IF(F23+SUM(E$17:E23)=D$10,F23,D$10-SUM(E$17:E23))</f>
        <v>2005349.6093016979</v>
      </c>
      <c r="E24" s="354">
        <f t="shared" si="15"/>
        <v>63009.284736842113</v>
      </c>
      <c r="F24" s="55">
        <f t="shared" si="16"/>
        <v>1942340.3245648558</v>
      </c>
      <c r="G24" s="355">
        <f t="shared" si="17"/>
        <v>287250.8915017097</v>
      </c>
      <c r="H24" s="336">
        <f t="shared" si="18"/>
        <v>287250.8915017097</v>
      </c>
      <c r="I24" s="52">
        <f t="shared" si="5"/>
        <v>0</v>
      </c>
      <c r="J24" s="52"/>
      <c r="K24" s="115"/>
      <c r="L24" s="54">
        <f t="shared" si="19"/>
        <v>0</v>
      </c>
      <c r="M24" s="115"/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7"/>
        <v/>
      </c>
      <c r="C25" s="50">
        <f>IF(D11="","-",+C24+1)</f>
        <v>2028</v>
      </c>
      <c r="D25" s="55">
        <f>IF(F24+SUM(E$17:E24)=D$10,F24,D$10-SUM(E$17:E24))</f>
        <v>1942340.3245648558</v>
      </c>
      <c r="E25" s="354">
        <f t="shared" si="15"/>
        <v>63009.284736842113</v>
      </c>
      <c r="F25" s="55">
        <f t="shared" si="16"/>
        <v>1879331.0398280136</v>
      </c>
      <c r="G25" s="355">
        <f t="shared" si="17"/>
        <v>280092.62756143324</v>
      </c>
      <c r="H25" s="336">
        <f t="shared" si="18"/>
        <v>280092.62756143324</v>
      </c>
      <c r="I25" s="52">
        <f t="shared" si="5"/>
        <v>0</v>
      </c>
      <c r="J25" s="52"/>
      <c r="K25" s="115"/>
      <c r="L25" s="54">
        <f t="shared" si="19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7"/>
        <v/>
      </c>
      <c r="C26" s="50">
        <f>IF(D11="","-",+C25+1)</f>
        <v>2029</v>
      </c>
      <c r="D26" s="55">
        <f>IF(F25+SUM(E$17:E25)=D$10,F25,D$10-SUM(E$17:E25))</f>
        <v>1879331.0398280136</v>
      </c>
      <c r="E26" s="354">
        <f t="shared" si="15"/>
        <v>63009.284736842113</v>
      </c>
      <c r="F26" s="55">
        <f t="shared" si="16"/>
        <v>1816321.7550911715</v>
      </c>
      <c r="G26" s="355">
        <f t="shared" si="17"/>
        <v>272934.3636211569</v>
      </c>
      <c r="H26" s="336">
        <f t="shared" si="18"/>
        <v>272934.3636211569</v>
      </c>
      <c r="I26" s="52">
        <f t="shared" si="5"/>
        <v>0</v>
      </c>
      <c r="J26" s="52"/>
      <c r="K26" s="115"/>
      <c r="L26" s="54">
        <f t="shared" si="19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7"/>
        <v/>
      </c>
      <c r="C27" s="50">
        <f>IF(D11="","-",+C26+1)</f>
        <v>2030</v>
      </c>
      <c r="D27" s="55">
        <f>IF(F26+SUM(E$17:E26)=D$10,F26,D$10-SUM(E$17:E26))</f>
        <v>1816321.7550911715</v>
      </c>
      <c r="E27" s="354">
        <f t="shared" si="15"/>
        <v>63009.284736842113</v>
      </c>
      <c r="F27" s="55">
        <f t="shared" si="16"/>
        <v>1753312.4703543293</v>
      </c>
      <c r="G27" s="355">
        <f t="shared" si="17"/>
        <v>265776.09968088049</v>
      </c>
      <c r="H27" s="336">
        <f t="shared" si="18"/>
        <v>265776.09968088049</v>
      </c>
      <c r="I27" s="52">
        <f t="shared" si="5"/>
        <v>0</v>
      </c>
      <c r="J27" s="52"/>
      <c r="K27" s="115"/>
      <c r="L27" s="54">
        <f t="shared" si="19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7"/>
        <v/>
      </c>
      <c r="C28" s="50">
        <f>IF(D11="","-",+C27+1)</f>
        <v>2031</v>
      </c>
      <c r="D28" s="55">
        <f>IF(F27+SUM(E$17:E27)=D$10,F27,D$10-SUM(E$17:E27))</f>
        <v>1753312.4703543293</v>
      </c>
      <c r="E28" s="354">
        <f t="shared" si="15"/>
        <v>63009.284736842113</v>
      </c>
      <c r="F28" s="55">
        <f t="shared" si="16"/>
        <v>1690303.1856174872</v>
      </c>
      <c r="G28" s="355">
        <f t="shared" si="17"/>
        <v>258617.83574060412</v>
      </c>
      <c r="H28" s="336">
        <f t="shared" si="18"/>
        <v>258617.83574060412</v>
      </c>
      <c r="I28" s="52">
        <f t="shared" si="5"/>
        <v>0</v>
      </c>
      <c r="J28" s="52"/>
      <c r="K28" s="115"/>
      <c r="L28" s="54">
        <f t="shared" si="19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7"/>
        <v/>
      </c>
      <c r="C29" s="50">
        <f>IF(D11="","-",+C28+1)</f>
        <v>2032</v>
      </c>
      <c r="D29" s="55">
        <f>IF(F28+SUM(E$17:E28)=D$10,F28,D$10-SUM(E$17:E28))</f>
        <v>1690303.1856174872</v>
      </c>
      <c r="E29" s="354">
        <f t="shared" si="15"/>
        <v>63009.284736842113</v>
      </c>
      <c r="F29" s="55">
        <f t="shared" si="16"/>
        <v>1627293.900880645</v>
      </c>
      <c r="G29" s="355">
        <f t="shared" si="17"/>
        <v>251459.57180032769</v>
      </c>
      <c r="H29" s="336">
        <f t="shared" si="18"/>
        <v>251459.57180032769</v>
      </c>
      <c r="I29" s="52">
        <f t="shared" si="5"/>
        <v>0</v>
      </c>
      <c r="J29" s="52"/>
      <c r="K29" s="115"/>
      <c r="L29" s="54">
        <f t="shared" si="19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7"/>
        <v/>
      </c>
      <c r="C30" s="50">
        <f>IF(D11="","-",+C29+1)</f>
        <v>2033</v>
      </c>
      <c r="D30" s="55">
        <f>IF(F29+SUM(E$17:E29)=D$10,F29,D$10-SUM(E$17:E29))</f>
        <v>1627293.900880645</v>
      </c>
      <c r="E30" s="354">
        <f t="shared" si="15"/>
        <v>63009.284736842113</v>
      </c>
      <c r="F30" s="55">
        <f t="shared" si="16"/>
        <v>1564284.6161438029</v>
      </c>
      <c r="G30" s="355">
        <f t="shared" si="17"/>
        <v>244301.30786005134</v>
      </c>
      <c r="H30" s="336">
        <f t="shared" si="18"/>
        <v>244301.30786005134</v>
      </c>
      <c r="I30" s="52">
        <f t="shared" si="5"/>
        <v>0</v>
      </c>
      <c r="J30" s="52"/>
      <c r="K30" s="115"/>
      <c r="L30" s="54">
        <f t="shared" si="19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7"/>
        <v/>
      </c>
      <c r="C31" s="50">
        <f>IF(D11="","-",+C30+1)</f>
        <v>2034</v>
      </c>
      <c r="D31" s="55">
        <f>IF(F30+SUM(E$17:E30)=D$10,F30,D$10-SUM(E$17:E30))</f>
        <v>1564284.6161438029</v>
      </c>
      <c r="E31" s="354">
        <f t="shared" si="15"/>
        <v>63009.284736842113</v>
      </c>
      <c r="F31" s="55">
        <f t="shared" si="16"/>
        <v>1501275.3314069607</v>
      </c>
      <c r="G31" s="355">
        <f t="shared" si="17"/>
        <v>237143.04391977491</v>
      </c>
      <c r="H31" s="336">
        <f t="shared" si="18"/>
        <v>237143.04391977491</v>
      </c>
      <c r="I31" s="52">
        <f t="shared" si="5"/>
        <v>0</v>
      </c>
      <c r="J31" s="52"/>
      <c r="K31" s="115"/>
      <c r="L31" s="54">
        <f t="shared" si="19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7"/>
        <v/>
      </c>
      <c r="C32" s="50">
        <f>IF(D11="","-",+C31+1)</f>
        <v>2035</v>
      </c>
      <c r="D32" s="55">
        <f>IF(F31+SUM(E$17:E31)=D$10,F31,D$10-SUM(E$17:E31))</f>
        <v>1501275.3314069607</v>
      </c>
      <c r="E32" s="354">
        <f t="shared" si="15"/>
        <v>63009.284736842113</v>
      </c>
      <c r="F32" s="55">
        <f t="shared" si="16"/>
        <v>1438266.0466701186</v>
      </c>
      <c r="G32" s="355">
        <f t="shared" si="17"/>
        <v>229984.77997949853</v>
      </c>
      <c r="H32" s="336">
        <f t="shared" si="18"/>
        <v>229984.77997949853</v>
      </c>
      <c r="I32" s="52">
        <f t="shared" si="5"/>
        <v>0</v>
      </c>
      <c r="J32" s="52"/>
      <c r="K32" s="115"/>
      <c r="L32" s="54">
        <f t="shared" si="19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7"/>
        <v/>
      </c>
      <c r="C33" s="50">
        <f>IF(D11="","-",+C32+1)</f>
        <v>2036</v>
      </c>
      <c r="D33" s="55">
        <f>IF(F32+SUM(E$17:E32)=D$10,F32,D$10-SUM(E$17:E32))</f>
        <v>1438266.0466701186</v>
      </c>
      <c r="E33" s="354">
        <f t="shared" si="15"/>
        <v>63009.284736842113</v>
      </c>
      <c r="F33" s="55">
        <f t="shared" si="16"/>
        <v>1375256.7619332764</v>
      </c>
      <c r="G33" s="355">
        <f t="shared" si="17"/>
        <v>222826.51603922213</v>
      </c>
      <c r="H33" s="336">
        <f t="shared" si="18"/>
        <v>222826.51603922213</v>
      </c>
      <c r="I33" s="52">
        <f t="shared" si="5"/>
        <v>0</v>
      </c>
      <c r="J33" s="52"/>
      <c r="K33" s="115"/>
      <c r="L33" s="54">
        <f t="shared" si="19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7"/>
        <v/>
      </c>
      <c r="C34" s="50">
        <f>IF(D11="","-",+C33+1)</f>
        <v>2037</v>
      </c>
      <c r="D34" s="55">
        <f>IF(F33+SUM(E$17:E33)=D$10,F33,D$10-SUM(E$17:E33))</f>
        <v>1375256.7619332764</v>
      </c>
      <c r="E34" s="354">
        <f t="shared" si="15"/>
        <v>63009.284736842113</v>
      </c>
      <c r="F34" s="55">
        <f t="shared" si="16"/>
        <v>1312247.4771964343</v>
      </c>
      <c r="G34" s="355">
        <f t="shared" si="17"/>
        <v>215668.25209894576</v>
      </c>
      <c r="H34" s="336">
        <f t="shared" si="18"/>
        <v>215668.25209894576</v>
      </c>
      <c r="I34" s="52">
        <f t="shared" si="5"/>
        <v>0</v>
      </c>
      <c r="J34" s="52"/>
      <c r="K34" s="115"/>
      <c r="L34" s="54">
        <f t="shared" si="19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7"/>
        <v/>
      </c>
      <c r="C35" s="50">
        <f>IF(D11="","-",+C34+1)</f>
        <v>2038</v>
      </c>
      <c r="D35" s="55">
        <f>IF(F34+SUM(E$17:E34)=D$10,F34,D$10-SUM(E$17:E34))</f>
        <v>1312247.4771964343</v>
      </c>
      <c r="E35" s="354">
        <f t="shared" si="15"/>
        <v>63009.284736842113</v>
      </c>
      <c r="F35" s="55">
        <f t="shared" si="16"/>
        <v>1249238.1924595921</v>
      </c>
      <c r="G35" s="355">
        <f t="shared" si="17"/>
        <v>208509.98815866932</v>
      </c>
      <c r="H35" s="336">
        <f t="shared" si="18"/>
        <v>208509.98815866932</v>
      </c>
      <c r="I35" s="52">
        <f t="shared" si="5"/>
        <v>0</v>
      </c>
      <c r="J35" s="52"/>
      <c r="K35" s="115"/>
      <c r="L35" s="54">
        <f t="shared" si="19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7"/>
        <v/>
      </c>
      <c r="C36" s="50">
        <f>IF(D11="","-",+C35+1)</f>
        <v>2039</v>
      </c>
      <c r="D36" s="55">
        <f>IF(F35+SUM(E$17:E35)=D$10,F35,D$10-SUM(E$17:E35))</f>
        <v>1249238.1924595921</v>
      </c>
      <c r="E36" s="354">
        <f t="shared" si="15"/>
        <v>63009.284736842113</v>
      </c>
      <c r="F36" s="55">
        <f t="shared" si="16"/>
        <v>1186228.90772275</v>
      </c>
      <c r="G36" s="355">
        <f t="shared" si="17"/>
        <v>201351.72421839295</v>
      </c>
      <c r="H36" s="336">
        <f t="shared" si="18"/>
        <v>201351.72421839295</v>
      </c>
      <c r="I36" s="52">
        <f t="shared" si="5"/>
        <v>0</v>
      </c>
      <c r="J36" s="52"/>
      <c r="K36" s="115"/>
      <c r="L36" s="54">
        <f t="shared" si="19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7"/>
        <v/>
      </c>
      <c r="C37" s="50">
        <f>IF(D11="","-",+C36+1)</f>
        <v>2040</v>
      </c>
      <c r="D37" s="55">
        <f>IF(F36+SUM(E$17:E36)=D$10,F36,D$10-SUM(E$17:E36))</f>
        <v>1186228.90772275</v>
      </c>
      <c r="E37" s="354">
        <f t="shared" si="15"/>
        <v>63009.284736842113</v>
      </c>
      <c r="F37" s="55">
        <f t="shared" si="16"/>
        <v>1123219.6229859078</v>
      </c>
      <c r="G37" s="355">
        <f t="shared" si="17"/>
        <v>194193.46027811654</v>
      </c>
      <c r="H37" s="336">
        <f t="shared" si="18"/>
        <v>194193.46027811654</v>
      </c>
      <c r="I37" s="52">
        <f t="shared" si="5"/>
        <v>0</v>
      </c>
      <c r="J37" s="52"/>
      <c r="K37" s="115"/>
      <c r="L37" s="54">
        <f t="shared" si="19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7"/>
        <v/>
      </c>
      <c r="C38" s="50">
        <f>IF(D11="","-",+C37+1)</f>
        <v>2041</v>
      </c>
      <c r="D38" s="55">
        <f>IF(F37+SUM(E$17:E37)=D$10,F37,D$10-SUM(E$17:E37))</f>
        <v>1123219.6229859078</v>
      </c>
      <c r="E38" s="354">
        <f t="shared" si="15"/>
        <v>63009.284736842113</v>
      </c>
      <c r="F38" s="55">
        <f t="shared" si="16"/>
        <v>1060210.3382490657</v>
      </c>
      <c r="G38" s="355">
        <f t="shared" si="17"/>
        <v>187035.19633784017</v>
      </c>
      <c r="H38" s="336">
        <f t="shared" si="18"/>
        <v>187035.19633784017</v>
      </c>
      <c r="I38" s="52">
        <f t="shared" si="5"/>
        <v>0</v>
      </c>
      <c r="J38" s="52"/>
      <c r="K38" s="115"/>
      <c r="L38" s="54">
        <f t="shared" si="19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7"/>
        <v/>
      </c>
      <c r="C39" s="50">
        <f>IF(D11="","-",+C38+1)</f>
        <v>2042</v>
      </c>
      <c r="D39" s="55">
        <f>IF(F38+SUM(E$17:E38)=D$10,F38,D$10-SUM(E$17:E38))</f>
        <v>1060210.3382490657</v>
      </c>
      <c r="E39" s="354">
        <f t="shared" si="15"/>
        <v>63009.284736842113</v>
      </c>
      <c r="F39" s="55">
        <f t="shared" si="16"/>
        <v>997201.05351222353</v>
      </c>
      <c r="G39" s="355">
        <f t="shared" si="17"/>
        <v>179876.93239756374</v>
      </c>
      <c r="H39" s="336">
        <f t="shared" si="18"/>
        <v>179876.93239756374</v>
      </c>
      <c r="I39" s="52">
        <f t="shared" si="5"/>
        <v>0</v>
      </c>
      <c r="J39" s="52"/>
      <c r="K39" s="115"/>
      <c r="L39" s="54">
        <f t="shared" si="19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7"/>
        <v/>
      </c>
      <c r="C40" s="50">
        <f>IF(D11="","-",+C39+1)</f>
        <v>2043</v>
      </c>
      <c r="D40" s="55">
        <f>IF(F39+SUM(E$17:E39)=D$10,F39,D$10-SUM(E$17:E39))</f>
        <v>997201.05351222353</v>
      </c>
      <c r="E40" s="354">
        <f t="shared" si="15"/>
        <v>63009.284736842113</v>
      </c>
      <c r="F40" s="55">
        <f t="shared" si="16"/>
        <v>934191.76877538138</v>
      </c>
      <c r="G40" s="355">
        <f t="shared" si="17"/>
        <v>172718.66845728736</v>
      </c>
      <c r="H40" s="336">
        <f t="shared" si="18"/>
        <v>172718.66845728736</v>
      </c>
      <c r="I40" s="52">
        <f t="shared" si="5"/>
        <v>0</v>
      </c>
      <c r="J40" s="52"/>
      <c r="K40" s="115"/>
      <c r="L40" s="54">
        <f t="shared" si="19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7"/>
        <v/>
      </c>
      <c r="C41" s="50">
        <f>IF(D11="","-",+C40+1)</f>
        <v>2044</v>
      </c>
      <c r="D41" s="55">
        <f>IF(F40+SUM(E$17:E40)=D$10,F40,D$10-SUM(E$17:E40))</f>
        <v>934191.76877538138</v>
      </c>
      <c r="E41" s="354">
        <f t="shared" si="15"/>
        <v>63009.284736842113</v>
      </c>
      <c r="F41" s="55">
        <f t="shared" si="16"/>
        <v>871182.48403853923</v>
      </c>
      <c r="G41" s="355">
        <f t="shared" si="17"/>
        <v>165560.40451701096</v>
      </c>
      <c r="H41" s="336">
        <f t="shared" si="18"/>
        <v>165560.40451701096</v>
      </c>
      <c r="I41" s="52">
        <f t="shared" si="5"/>
        <v>0</v>
      </c>
      <c r="J41" s="52"/>
      <c r="K41" s="115"/>
      <c r="L41" s="54">
        <f t="shared" si="19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7"/>
        <v/>
      </c>
      <c r="C42" s="50">
        <f>IF(D11="","-",+C41+1)</f>
        <v>2045</v>
      </c>
      <c r="D42" s="55">
        <f>IF(F41+SUM(E$17:E41)=D$10,F41,D$10-SUM(E$17:E41))</f>
        <v>871182.48403853923</v>
      </c>
      <c r="E42" s="354">
        <f t="shared" si="15"/>
        <v>63009.284736842113</v>
      </c>
      <c r="F42" s="55">
        <f t="shared" si="16"/>
        <v>808173.19930169708</v>
      </c>
      <c r="G42" s="355">
        <f t="shared" si="17"/>
        <v>158402.14057673456</v>
      </c>
      <c r="H42" s="336">
        <f t="shared" si="18"/>
        <v>158402.14057673456</v>
      </c>
      <c r="I42" s="52">
        <f t="shared" si="5"/>
        <v>0</v>
      </c>
      <c r="J42" s="52"/>
      <c r="K42" s="115"/>
      <c r="L42" s="54">
        <f t="shared" si="19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7"/>
        <v/>
      </c>
      <c r="C43" s="50">
        <f>IF(D11="","-",+C42+1)</f>
        <v>2046</v>
      </c>
      <c r="D43" s="55">
        <f>IF(F42+SUM(E$17:E42)=D$10,F42,D$10-SUM(E$17:E42))</f>
        <v>808173.19930169708</v>
      </c>
      <c r="E43" s="354">
        <f t="shared" si="15"/>
        <v>63009.284736842113</v>
      </c>
      <c r="F43" s="55">
        <f t="shared" si="16"/>
        <v>745163.91456485493</v>
      </c>
      <c r="G43" s="355">
        <f t="shared" si="17"/>
        <v>151243.87663645818</v>
      </c>
      <c r="H43" s="336">
        <f t="shared" si="18"/>
        <v>151243.87663645818</v>
      </c>
      <c r="I43" s="52">
        <f t="shared" si="5"/>
        <v>0</v>
      </c>
      <c r="J43" s="52"/>
      <c r="K43" s="115"/>
      <c r="L43" s="54">
        <f t="shared" si="19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7"/>
        <v/>
      </c>
      <c r="C44" s="50">
        <f>IF(D11="","-",+C43+1)</f>
        <v>2047</v>
      </c>
      <c r="D44" s="55">
        <f>IF(F43+SUM(E$17:E43)=D$10,F43,D$10-SUM(E$17:E43))</f>
        <v>745163.91456485493</v>
      </c>
      <c r="E44" s="354">
        <f t="shared" si="15"/>
        <v>63009.284736842113</v>
      </c>
      <c r="F44" s="55">
        <f t="shared" si="16"/>
        <v>682154.62982801278</v>
      </c>
      <c r="G44" s="355">
        <f t="shared" si="17"/>
        <v>144085.61269618178</v>
      </c>
      <c r="H44" s="336">
        <f t="shared" si="18"/>
        <v>144085.61269618178</v>
      </c>
      <c r="I44" s="52">
        <f t="shared" si="5"/>
        <v>0</v>
      </c>
      <c r="J44" s="52"/>
      <c r="K44" s="115"/>
      <c r="L44" s="54">
        <f t="shared" si="19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7"/>
        <v/>
      </c>
      <c r="C45" s="50">
        <f>IF(D11="","-",+C44+1)</f>
        <v>2048</v>
      </c>
      <c r="D45" s="55">
        <f>IF(F44+SUM(E$17:E44)=D$10,F44,D$10-SUM(E$17:E44))</f>
        <v>682154.62982801278</v>
      </c>
      <c r="E45" s="354">
        <f t="shared" si="15"/>
        <v>63009.284736842113</v>
      </c>
      <c r="F45" s="55">
        <f t="shared" si="16"/>
        <v>619145.34509117063</v>
      </c>
      <c r="G45" s="355">
        <f t="shared" si="17"/>
        <v>136927.34875590538</v>
      </c>
      <c r="H45" s="336">
        <f t="shared" si="18"/>
        <v>136927.34875590538</v>
      </c>
      <c r="I45" s="52">
        <f t="shared" si="5"/>
        <v>0</v>
      </c>
      <c r="J45" s="52"/>
      <c r="K45" s="115"/>
      <c r="L45" s="54">
        <f t="shared" si="19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7"/>
        <v/>
      </c>
      <c r="C46" s="50">
        <f>IF(D11="","-",+C45+1)</f>
        <v>2049</v>
      </c>
      <c r="D46" s="55">
        <f>IF(F45+SUM(E$17:E45)=D$10,F45,D$10-SUM(E$17:E45))</f>
        <v>619145.34509117063</v>
      </c>
      <c r="E46" s="354">
        <f t="shared" si="15"/>
        <v>63009.284736842113</v>
      </c>
      <c r="F46" s="55">
        <f t="shared" si="16"/>
        <v>556136.06035432848</v>
      </c>
      <c r="G46" s="355">
        <f t="shared" si="17"/>
        <v>129769.08481562897</v>
      </c>
      <c r="H46" s="336">
        <f t="shared" si="18"/>
        <v>129769.08481562897</v>
      </c>
      <c r="I46" s="52">
        <f t="shared" si="5"/>
        <v>0</v>
      </c>
      <c r="J46" s="52"/>
      <c r="K46" s="115"/>
      <c r="L46" s="54">
        <f t="shared" si="19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7"/>
        <v/>
      </c>
      <c r="C47" s="50">
        <f>IF(D11="","-",+C46+1)</f>
        <v>2050</v>
      </c>
      <c r="D47" s="55">
        <f>IF(F46+SUM(E$17:E46)=D$10,F46,D$10-SUM(E$17:E46))</f>
        <v>556136.06035432848</v>
      </c>
      <c r="E47" s="354">
        <f t="shared" si="15"/>
        <v>63009.284736842113</v>
      </c>
      <c r="F47" s="55">
        <f t="shared" si="16"/>
        <v>493126.77561748639</v>
      </c>
      <c r="G47" s="355">
        <f t="shared" si="17"/>
        <v>122610.8208753526</v>
      </c>
      <c r="H47" s="336">
        <f t="shared" si="18"/>
        <v>122610.8208753526</v>
      </c>
      <c r="I47" s="52">
        <f t="shared" si="5"/>
        <v>0</v>
      </c>
      <c r="J47" s="52"/>
      <c r="K47" s="115"/>
      <c r="L47" s="54">
        <f t="shared" si="19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7"/>
        <v/>
      </c>
      <c r="C48" s="50">
        <f>IF(D11="","-",+C47+1)</f>
        <v>2051</v>
      </c>
      <c r="D48" s="55">
        <f>IF(F47+SUM(E$17:E47)=D$10,F47,D$10-SUM(E$17:E47))</f>
        <v>493126.77561748639</v>
      </c>
      <c r="E48" s="354">
        <f t="shared" si="15"/>
        <v>63009.284736842113</v>
      </c>
      <c r="F48" s="55">
        <f t="shared" si="16"/>
        <v>430117.4908806443</v>
      </c>
      <c r="G48" s="355">
        <f t="shared" si="17"/>
        <v>115452.55693507621</v>
      </c>
      <c r="H48" s="336">
        <f t="shared" si="18"/>
        <v>115452.55693507621</v>
      </c>
      <c r="I48" s="52">
        <f t="shared" si="5"/>
        <v>0</v>
      </c>
      <c r="J48" s="52"/>
      <c r="K48" s="115"/>
      <c r="L48" s="54">
        <f t="shared" si="19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>
      <c r="B49" s="7" t="str">
        <f t="shared" si="7"/>
        <v/>
      </c>
      <c r="C49" s="50">
        <f>IF(D11="","-",+C48+1)</f>
        <v>2052</v>
      </c>
      <c r="D49" s="55">
        <f>IF(F48+SUM(E$17:E48)=D$10,F48,D$10-SUM(E$17:E48))</f>
        <v>430117.4908806443</v>
      </c>
      <c r="E49" s="354">
        <f t="shared" si="15"/>
        <v>63009.284736842113</v>
      </c>
      <c r="F49" s="55">
        <f t="shared" si="16"/>
        <v>367108.20614380221</v>
      </c>
      <c r="G49" s="355">
        <f t="shared" si="17"/>
        <v>108294.29299479982</v>
      </c>
      <c r="H49" s="336">
        <f t="shared" si="18"/>
        <v>108294.29299479982</v>
      </c>
      <c r="I49" s="52">
        <f t="shared" si="5"/>
        <v>0</v>
      </c>
      <c r="J49" s="52"/>
      <c r="K49" s="115"/>
      <c r="L49" s="54">
        <f t="shared" si="19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>
      <c r="B50" s="7" t="str">
        <f t="shared" si="7"/>
        <v/>
      </c>
      <c r="C50" s="50">
        <f>IF(D11="","-",+C49+1)</f>
        <v>2053</v>
      </c>
      <c r="D50" s="55">
        <f>IF(F49+SUM(E$17:E49)=D$10,F49,D$10-SUM(E$17:E49))</f>
        <v>367108.20614380221</v>
      </c>
      <c r="E50" s="354">
        <f t="shared" si="15"/>
        <v>63009.284736842113</v>
      </c>
      <c r="F50" s="55">
        <f t="shared" si="16"/>
        <v>304098.92140696011</v>
      </c>
      <c r="G50" s="355">
        <f t="shared" si="17"/>
        <v>101136.02905452343</v>
      </c>
      <c r="H50" s="336">
        <f t="shared" si="18"/>
        <v>101136.02905452343</v>
      </c>
      <c r="I50" s="52">
        <f t="shared" si="5"/>
        <v>0</v>
      </c>
      <c r="J50" s="52"/>
      <c r="K50" s="115"/>
      <c r="L50" s="54">
        <f t="shared" si="19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>
      <c r="B51" s="7" t="str">
        <f t="shared" si="7"/>
        <v/>
      </c>
      <c r="C51" s="50">
        <f>IF(D11="","-",+C50+1)</f>
        <v>2054</v>
      </c>
      <c r="D51" s="55">
        <f>IF(F50+SUM(E$17:E50)=D$10,F50,D$10-SUM(E$17:E50))</f>
        <v>304098.92140696011</v>
      </c>
      <c r="E51" s="354">
        <f t="shared" si="15"/>
        <v>63009.284736842113</v>
      </c>
      <c r="F51" s="55">
        <f t="shared" si="16"/>
        <v>241089.63667011799</v>
      </c>
      <c r="G51" s="355">
        <f t="shared" si="17"/>
        <v>93977.765114247042</v>
      </c>
      <c r="H51" s="336">
        <f t="shared" si="18"/>
        <v>93977.765114247042</v>
      </c>
      <c r="I51" s="52">
        <f t="shared" si="5"/>
        <v>0</v>
      </c>
      <c r="J51" s="52"/>
      <c r="K51" s="115"/>
      <c r="L51" s="54">
        <f t="shared" si="19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>
      <c r="B52" s="7" t="str">
        <f t="shared" si="7"/>
        <v/>
      </c>
      <c r="C52" s="50">
        <f>IF(D11="","-",+C51+1)</f>
        <v>2055</v>
      </c>
      <c r="D52" s="55">
        <f>IF(F51+SUM(E$17:E51)=D$10,F51,D$10-SUM(E$17:E51))</f>
        <v>241089.63667011799</v>
      </c>
      <c r="E52" s="354">
        <f t="shared" si="15"/>
        <v>63009.284736842113</v>
      </c>
      <c r="F52" s="55">
        <f t="shared" si="16"/>
        <v>178080.35193327587</v>
      </c>
      <c r="G52" s="355">
        <f t="shared" si="17"/>
        <v>86819.501173970639</v>
      </c>
      <c r="H52" s="336">
        <f t="shared" si="18"/>
        <v>86819.501173970639</v>
      </c>
      <c r="I52" s="52">
        <f t="shared" si="5"/>
        <v>0</v>
      </c>
      <c r="J52" s="52"/>
      <c r="K52" s="115"/>
      <c r="L52" s="54">
        <f t="shared" si="19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>
      <c r="B53" s="7" t="str">
        <f t="shared" si="7"/>
        <v/>
      </c>
      <c r="C53" s="50">
        <f>IF(D11="","-",+C52+1)</f>
        <v>2056</v>
      </c>
      <c r="D53" s="55">
        <f>IF(F52+SUM(E$17:E52)=D$10,F52,D$10-SUM(E$17:E52))</f>
        <v>178080.35193327587</v>
      </c>
      <c r="E53" s="354">
        <f t="shared" si="15"/>
        <v>63009.284736842113</v>
      </c>
      <c r="F53" s="55">
        <f t="shared" si="16"/>
        <v>115071.06719643375</v>
      </c>
      <c r="G53" s="355">
        <f t="shared" si="17"/>
        <v>79661.23723369425</v>
      </c>
      <c r="H53" s="336">
        <f t="shared" si="18"/>
        <v>79661.23723369425</v>
      </c>
      <c r="I53" s="52">
        <f t="shared" si="5"/>
        <v>0</v>
      </c>
      <c r="J53" s="52"/>
      <c r="K53" s="115"/>
      <c r="L53" s="54">
        <f t="shared" si="19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>
      <c r="B54" s="7" t="str">
        <f t="shared" si="7"/>
        <v/>
      </c>
      <c r="C54" s="50">
        <f>IF(D11="","-",+C53+1)</f>
        <v>2057</v>
      </c>
      <c r="D54" s="55">
        <f>IF(F53+SUM(E$17:E53)=D$10,F53,D$10-SUM(E$17:E53))</f>
        <v>115071.06719643375</v>
      </c>
      <c r="E54" s="354">
        <f t="shared" si="15"/>
        <v>63009.284736842113</v>
      </c>
      <c r="F54" s="55">
        <f t="shared" si="16"/>
        <v>52061.782459591639</v>
      </c>
      <c r="G54" s="355">
        <f t="shared" si="17"/>
        <v>72502.973293417861</v>
      </c>
      <c r="H54" s="336">
        <f t="shared" si="18"/>
        <v>72502.973293417861</v>
      </c>
      <c r="I54" s="52">
        <f t="shared" si="5"/>
        <v>0</v>
      </c>
      <c r="J54" s="52"/>
      <c r="K54" s="115"/>
      <c r="L54" s="54">
        <f t="shared" si="19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>
      <c r="B55" s="7" t="str">
        <f t="shared" si="7"/>
        <v/>
      </c>
      <c r="C55" s="50">
        <f>IF(D11="","-",+C54+1)</f>
        <v>2058</v>
      </c>
      <c r="D55" s="55">
        <f>IF(F54+SUM(E$17:E54)=D$10,F54,D$10-SUM(E$17:E54))</f>
        <v>52061.782459591639</v>
      </c>
      <c r="E55" s="354">
        <f t="shared" si="15"/>
        <v>52061.782459591639</v>
      </c>
      <c r="F55" s="55">
        <f t="shared" si="16"/>
        <v>0</v>
      </c>
      <c r="G55" s="355">
        <f t="shared" si="17"/>
        <v>55019.060752810416</v>
      </c>
      <c r="H55" s="336">
        <f t="shared" si="18"/>
        <v>55019.060752810416</v>
      </c>
      <c r="I55" s="52">
        <f t="shared" si="5"/>
        <v>0</v>
      </c>
      <c r="J55" s="52"/>
      <c r="K55" s="115"/>
      <c r="L55" s="54">
        <f t="shared" si="19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>
      <c r="B56" s="7" t="str">
        <f t="shared" si="7"/>
        <v/>
      </c>
      <c r="C56" s="50">
        <f>IF(D11="","-",+C55+1)</f>
        <v>2059</v>
      </c>
      <c r="D56" s="55">
        <f>IF(F55+SUM(E$17:E55)=D$10,F55,D$10-SUM(E$17:E55))</f>
        <v>0</v>
      </c>
      <c r="E56" s="354">
        <f t="shared" si="15"/>
        <v>0</v>
      </c>
      <c r="F56" s="55">
        <f t="shared" si="16"/>
        <v>0</v>
      </c>
      <c r="G56" s="355">
        <f t="shared" si="17"/>
        <v>0</v>
      </c>
      <c r="H56" s="336">
        <f t="shared" si="18"/>
        <v>0</v>
      </c>
      <c r="I56" s="52">
        <f t="shared" si="5"/>
        <v>0</v>
      </c>
      <c r="J56" s="52"/>
      <c r="K56" s="115"/>
      <c r="L56" s="54">
        <f t="shared" si="19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>
      <c r="B57" s="7" t="str">
        <f t="shared" si="7"/>
        <v/>
      </c>
      <c r="C57" s="50">
        <f>IF(D11="","-",+C56+1)</f>
        <v>2060</v>
      </c>
      <c r="D57" s="55">
        <f>IF(F56+SUM(E$17:E56)=D$10,F56,D$10-SUM(E$17:E56))</f>
        <v>0</v>
      </c>
      <c r="E57" s="354">
        <f t="shared" si="15"/>
        <v>0</v>
      </c>
      <c r="F57" s="55">
        <f t="shared" si="16"/>
        <v>0</v>
      </c>
      <c r="G57" s="355">
        <f t="shared" si="17"/>
        <v>0</v>
      </c>
      <c r="H57" s="336">
        <f t="shared" si="18"/>
        <v>0</v>
      </c>
      <c r="I57" s="52">
        <f t="shared" si="5"/>
        <v>0</v>
      </c>
      <c r="J57" s="52"/>
      <c r="K57" s="115"/>
      <c r="L57" s="54">
        <f t="shared" si="19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>
      <c r="B58" s="7" t="str">
        <f t="shared" si="7"/>
        <v/>
      </c>
      <c r="C58" s="50">
        <f>IF(D11="","-",+C57+1)</f>
        <v>2061</v>
      </c>
      <c r="D58" s="55">
        <f>IF(F57+SUM(E$17:E57)=D$10,F57,D$10-SUM(E$17:E57))</f>
        <v>0</v>
      </c>
      <c r="E58" s="354">
        <f t="shared" si="15"/>
        <v>0</v>
      </c>
      <c r="F58" s="55">
        <f t="shared" si="16"/>
        <v>0</v>
      </c>
      <c r="G58" s="355">
        <f t="shared" si="17"/>
        <v>0</v>
      </c>
      <c r="H58" s="336">
        <f t="shared" si="18"/>
        <v>0</v>
      </c>
      <c r="I58" s="52">
        <f t="shared" si="5"/>
        <v>0</v>
      </c>
      <c r="J58" s="52"/>
      <c r="K58" s="115"/>
      <c r="L58" s="54">
        <f t="shared" si="19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>
      <c r="B59" s="7" t="str">
        <f t="shared" si="7"/>
        <v/>
      </c>
      <c r="C59" s="50">
        <f>IF(D11="","-",+C58+1)</f>
        <v>2062</v>
      </c>
      <c r="D59" s="55">
        <f>IF(F58+SUM(E$17:E58)=D$10,F58,D$10-SUM(E$17:E58))</f>
        <v>0</v>
      </c>
      <c r="E59" s="354">
        <f t="shared" si="15"/>
        <v>0</v>
      </c>
      <c r="F59" s="55">
        <f t="shared" si="16"/>
        <v>0</v>
      </c>
      <c r="G59" s="355">
        <f t="shared" si="17"/>
        <v>0</v>
      </c>
      <c r="H59" s="336">
        <f t="shared" si="18"/>
        <v>0</v>
      </c>
      <c r="I59" s="52">
        <f t="shared" si="5"/>
        <v>0</v>
      </c>
      <c r="J59" s="52"/>
      <c r="K59" s="115"/>
      <c r="L59" s="54">
        <f t="shared" si="19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>
      <c r="B60" s="7" t="str">
        <f t="shared" si="7"/>
        <v/>
      </c>
      <c r="C60" s="50">
        <f>IF(D11="","-",+C59+1)</f>
        <v>2063</v>
      </c>
      <c r="D60" s="55">
        <f>IF(F59+SUM(E$17:E59)=D$10,F59,D$10-SUM(E$17:E59))</f>
        <v>0</v>
      </c>
      <c r="E60" s="354">
        <f t="shared" si="15"/>
        <v>0</v>
      </c>
      <c r="F60" s="55">
        <f t="shared" si="16"/>
        <v>0</v>
      </c>
      <c r="G60" s="355">
        <f t="shared" si="17"/>
        <v>0</v>
      </c>
      <c r="H60" s="336">
        <f t="shared" si="18"/>
        <v>0</v>
      </c>
      <c r="I60" s="52">
        <f t="shared" si="5"/>
        <v>0</v>
      </c>
      <c r="J60" s="52"/>
      <c r="K60" s="115"/>
      <c r="L60" s="54">
        <f t="shared" si="19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>
      <c r="B61" s="7" t="str">
        <f t="shared" si="7"/>
        <v/>
      </c>
      <c r="C61" s="50">
        <f>IF(D11="","-",+C60+1)</f>
        <v>2064</v>
      </c>
      <c r="D61" s="55">
        <f>IF(F60+SUM(E$17:E60)=D$10,F60,D$10-SUM(E$17:E60))</f>
        <v>0</v>
      </c>
      <c r="E61" s="354">
        <f t="shared" si="15"/>
        <v>0</v>
      </c>
      <c r="F61" s="55">
        <f t="shared" si="16"/>
        <v>0</v>
      </c>
      <c r="G61" s="355">
        <f t="shared" si="17"/>
        <v>0</v>
      </c>
      <c r="H61" s="336">
        <f t="shared" si="18"/>
        <v>0</v>
      </c>
      <c r="I61" s="52">
        <f t="shared" si="5"/>
        <v>0</v>
      </c>
      <c r="J61" s="52"/>
      <c r="K61" s="115"/>
      <c r="L61" s="54">
        <f t="shared" si="19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>
      <c r="B62" s="7" t="str">
        <f t="shared" si="7"/>
        <v/>
      </c>
      <c r="C62" s="50">
        <f>IF(D11="","-",+C61+1)</f>
        <v>2065</v>
      </c>
      <c r="D62" s="55">
        <f>IF(F61+SUM(E$17:E61)=D$10,F61,D$10-SUM(E$17:E61))</f>
        <v>0</v>
      </c>
      <c r="E62" s="354">
        <f t="shared" si="15"/>
        <v>0</v>
      </c>
      <c r="F62" s="55">
        <f t="shared" si="16"/>
        <v>0</v>
      </c>
      <c r="G62" s="355">
        <f t="shared" si="17"/>
        <v>0</v>
      </c>
      <c r="H62" s="336">
        <f t="shared" si="18"/>
        <v>0</v>
      </c>
      <c r="I62" s="52">
        <f t="shared" si="5"/>
        <v>0</v>
      </c>
      <c r="J62" s="52"/>
      <c r="K62" s="115"/>
      <c r="L62" s="54">
        <f t="shared" si="19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>
      <c r="B63" s="7" t="str">
        <f t="shared" si="7"/>
        <v/>
      </c>
      <c r="C63" s="50">
        <f>IF(D11="","-",+C62+1)</f>
        <v>2066</v>
      </c>
      <c r="D63" s="55">
        <f>IF(F62+SUM(E$17:E62)=D$10,F62,D$10-SUM(E$17:E62))</f>
        <v>0</v>
      </c>
      <c r="E63" s="354">
        <f t="shared" si="15"/>
        <v>0</v>
      </c>
      <c r="F63" s="55">
        <f t="shared" si="16"/>
        <v>0</v>
      </c>
      <c r="G63" s="355">
        <f t="shared" si="17"/>
        <v>0</v>
      </c>
      <c r="H63" s="336">
        <f t="shared" si="18"/>
        <v>0</v>
      </c>
      <c r="I63" s="52">
        <f t="shared" si="5"/>
        <v>0</v>
      </c>
      <c r="J63" s="52"/>
      <c r="K63" s="115"/>
      <c r="L63" s="54">
        <f t="shared" si="19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>
      <c r="B64" s="7" t="str">
        <f t="shared" si="7"/>
        <v/>
      </c>
      <c r="C64" s="50">
        <f>IF(D11="","-",+C63+1)</f>
        <v>2067</v>
      </c>
      <c r="D64" s="55">
        <f>IF(F63+SUM(E$17:E63)=D$10,F63,D$10-SUM(E$17:E63))</f>
        <v>0</v>
      </c>
      <c r="E64" s="354">
        <f t="shared" si="15"/>
        <v>0</v>
      </c>
      <c r="F64" s="55">
        <f t="shared" si="16"/>
        <v>0</v>
      </c>
      <c r="G64" s="355">
        <f t="shared" si="17"/>
        <v>0</v>
      </c>
      <c r="H64" s="336">
        <f t="shared" si="18"/>
        <v>0</v>
      </c>
      <c r="I64" s="52">
        <f t="shared" si="5"/>
        <v>0</v>
      </c>
      <c r="J64" s="52"/>
      <c r="K64" s="115"/>
      <c r="L64" s="54">
        <f t="shared" si="19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>
      <c r="B65" s="7" t="str">
        <f t="shared" si="7"/>
        <v/>
      </c>
      <c r="C65" s="50">
        <f>IF(D11="","-",+C64+1)</f>
        <v>2068</v>
      </c>
      <c r="D65" s="55">
        <f>IF(F64+SUM(E$17:E64)=D$10,F64,D$10-SUM(E$17:E64))</f>
        <v>0</v>
      </c>
      <c r="E65" s="354">
        <f t="shared" si="15"/>
        <v>0</v>
      </c>
      <c r="F65" s="55">
        <f t="shared" si="16"/>
        <v>0</v>
      </c>
      <c r="G65" s="355">
        <f t="shared" si="17"/>
        <v>0</v>
      </c>
      <c r="H65" s="336">
        <f t="shared" si="18"/>
        <v>0</v>
      </c>
      <c r="I65" s="52">
        <f t="shared" si="5"/>
        <v>0</v>
      </c>
      <c r="J65" s="52"/>
      <c r="K65" s="115"/>
      <c r="L65" s="54">
        <f t="shared" si="19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>
      <c r="B66" s="7" t="str">
        <f t="shared" si="7"/>
        <v/>
      </c>
      <c r="C66" s="50">
        <f>IF(D11="","-",+C65+1)</f>
        <v>2069</v>
      </c>
      <c r="D66" s="55">
        <f>IF(F65+SUM(E$17:E65)=D$10,F65,D$10-SUM(E$17:E65))</f>
        <v>0</v>
      </c>
      <c r="E66" s="354">
        <f t="shared" si="15"/>
        <v>0</v>
      </c>
      <c r="F66" s="55">
        <f t="shared" si="16"/>
        <v>0</v>
      </c>
      <c r="G66" s="355">
        <f t="shared" si="17"/>
        <v>0</v>
      </c>
      <c r="H66" s="336">
        <f t="shared" si="18"/>
        <v>0</v>
      </c>
      <c r="I66" s="52">
        <f t="shared" si="5"/>
        <v>0</v>
      </c>
      <c r="J66" s="52"/>
      <c r="K66" s="115"/>
      <c r="L66" s="54">
        <f t="shared" si="19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>
      <c r="B67" s="7" t="str">
        <f t="shared" si="7"/>
        <v/>
      </c>
      <c r="C67" s="50">
        <f>IF(D11="","-",+C66+1)</f>
        <v>2070</v>
      </c>
      <c r="D67" s="55">
        <f>IF(F66+SUM(E$17:E66)=D$10,F66,D$10-SUM(E$17:E66))</f>
        <v>0</v>
      </c>
      <c r="E67" s="354">
        <f t="shared" si="15"/>
        <v>0</v>
      </c>
      <c r="F67" s="55">
        <f t="shared" si="16"/>
        <v>0</v>
      </c>
      <c r="G67" s="355">
        <f t="shared" si="17"/>
        <v>0</v>
      </c>
      <c r="H67" s="336">
        <f t="shared" si="18"/>
        <v>0</v>
      </c>
      <c r="I67" s="52">
        <f t="shared" si="5"/>
        <v>0</v>
      </c>
      <c r="J67" s="52"/>
      <c r="K67" s="115"/>
      <c r="L67" s="54">
        <f t="shared" si="19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>
      <c r="B68" s="7" t="str">
        <f t="shared" si="7"/>
        <v/>
      </c>
      <c r="C68" s="50">
        <f>IF(D11="","-",+C67+1)</f>
        <v>2071</v>
      </c>
      <c r="D68" s="55">
        <f>IF(F67+SUM(E$17:E67)=D$10,F67,D$10-SUM(E$17:E67))</f>
        <v>0</v>
      </c>
      <c r="E68" s="354">
        <f t="shared" si="15"/>
        <v>0</v>
      </c>
      <c r="F68" s="55">
        <f t="shared" si="16"/>
        <v>0</v>
      </c>
      <c r="G68" s="355">
        <f t="shared" si="17"/>
        <v>0</v>
      </c>
      <c r="H68" s="336">
        <f t="shared" si="18"/>
        <v>0</v>
      </c>
      <c r="I68" s="52">
        <f t="shared" si="5"/>
        <v>0</v>
      </c>
      <c r="J68" s="52"/>
      <c r="K68" s="115"/>
      <c r="L68" s="54">
        <f t="shared" si="19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>
      <c r="B69" s="7" t="str">
        <f t="shared" si="7"/>
        <v/>
      </c>
      <c r="C69" s="50">
        <f>IF(D11="","-",+C68+1)</f>
        <v>2072</v>
      </c>
      <c r="D69" s="55">
        <f>IF(F68+SUM(E$17:E68)=D$10,F68,D$10-SUM(E$17:E68))</f>
        <v>0</v>
      </c>
      <c r="E69" s="354">
        <f t="shared" si="15"/>
        <v>0</v>
      </c>
      <c r="F69" s="55">
        <f t="shared" si="16"/>
        <v>0</v>
      </c>
      <c r="G69" s="355">
        <f t="shared" si="17"/>
        <v>0</v>
      </c>
      <c r="H69" s="336">
        <f t="shared" si="18"/>
        <v>0</v>
      </c>
      <c r="I69" s="52">
        <f t="shared" si="5"/>
        <v>0</v>
      </c>
      <c r="J69" s="52"/>
      <c r="K69" s="115"/>
      <c r="L69" s="54">
        <f t="shared" si="19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>
      <c r="B70" s="7" t="str">
        <f t="shared" si="7"/>
        <v/>
      </c>
      <c r="C70" s="50">
        <f>IF(D11="","-",+C69+1)</f>
        <v>2073</v>
      </c>
      <c r="D70" s="55">
        <f>IF(F69+SUM(E$17:E69)=D$10,F69,D$10-SUM(E$17:E69))</f>
        <v>0</v>
      </c>
      <c r="E70" s="354">
        <f t="shared" si="15"/>
        <v>0</v>
      </c>
      <c r="F70" s="55">
        <f t="shared" si="16"/>
        <v>0</v>
      </c>
      <c r="G70" s="355">
        <f t="shared" si="17"/>
        <v>0</v>
      </c>
      <c r="H70" s="336">
        <f t="shared" si="18"/>
        <v>0</v>
      </c>
      <c r="I70" s="52">
        <f t="shared" si="5"/>
        <v>0</v>
      </c>
      <c r="J70" s="52"/>
      <c r="K70" s="115"/>
      <c r="L70" s="54">
        <f t="shared" si="19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>
      <c r="B71" s="7" t="str">
        <f t="shared" si="7"/>
        <v/>
      </c>
      <c r="C71" s="50">
        <f>IF(D11="","-",+C70+1)</f>
        <v>2074</v>
      </c>
      <c r="D71" s="55">
        <f>IF(F70+SUM(E$17:E70)=D$10,F70,D$10-SUM(E$17:E70))</f>
        <v>0</v>
      </c>
      <c r="E71" s="354">
        <f t="shared" si="15"/>
        <v>0</v>
      </c>
      <c r="F71" s="55">
        <f t="shared" si="16"/>
        <v>0</v>
      </c>
      <c r="G71" s="355">
        <f t="shared" si="17"/>
        <v>0</v>
      </c>
      <c r="H71" s="336">
        <f t="shared" si="18"/>
        <v>0</v>
      </c>
      <c r="I71" s="52">
        <f t="shared" si="5"/>
        <v>0</v>
      </c>
      <c r="J71" s="52"/>
      <c r="K71" s="115"/>
      <c r="L71" s="54">
        <f t="shared" si="19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.5" thickBot="1">
      <c r="B72" s="7" t="str">
        <f t="shared" si="7"/>
        <v/>
      </c>
      <c r="C72" s="58">
        <f>IF(D11="","-",+C71+1)</f>
        <v>2075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19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>
      <c r="C73" s="12" t="s">
        <v>77</v>
      </c>
      <c r="D73" s="266"/>
      <c r="E73" s="266">
        <f>SUM(E17:E72)</f>
        <v>2394352.8199999994</v>
      </c>
      <c r="F73" s="266"/>
      <c r="G73" s="266">
        <f>SUM(G17:G72)</f>
        <v>7618546.6033745352</v>
      </c>
      <c r="H73" s="266">
        <f>SUM(H17:H72)</f>
        <v>7618546.6033745352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28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301567.41938226245</v>
      </c>
      <c r="N87" s="364">
        <f>IF(J92&lt;D11,0,VLOOKUP(J92,C17:O72,11))</f>
        <v>301567.41938226245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317231.01583691651</v>
      </c>
      <c r="N88" s="367">
        <f>IF(J92&lt;D11,0,VLOOKUP(J92,C99:P154,7))</f>
        <v>317231.01583691651</v>
      </c>
      <c r="O88" s="69">
        <f>+N88-M88</f>
        <v>0</v>
      </c>
      <c r="P88" s="1"/>
    </row>
    <row r="89" spans="1:16" ht="13.5" thickBot="1">
      <c r="C89" s="26" t="s">
        <v>92</v>
      </c>
      <c r="D89" s="97" t="s">
        <v>331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15663.596454654064</v>
      </c>
      <c r="N89" s="369">
        <f>+N88-N87</f>
        <v>15663.596454654064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D9</f>
        <v>TP2015118</v>
      </c>
      <c r="E91" s="74" t="str">
        <f>E9</f>
        <v xml:space="preserve">  SPP Project ID = 30809</v>
      </c>
      <c r="F91" s="74"/>
      <c r="G91" s="74"/>
      <c r="H91" s="74"/>
      <c r="I91" s="74"/>
      <c r="J91" s="74"/>
    </row>
    <row r="92" spans="1:16">
      <c r="C92" s="128" t="s">
        <v>226</v>
      </c>
      <c r="D92" s="372">
        <v>2394352.8200000003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D11</f>
        <v>2020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D12</f>
        <v>6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64712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2020</v>
      </c>
      <c r="D99" s="411">
        <v>0</v>
      </c>
      <c r="E99" s="432">
        <v>0</v>
      </c>
      <c r="F99" s="411">
        <v>2529408</v>
      </c>
      <c r="G99" s="432">
        <v>1264704</v>
      </c>
      <c r="H99" s="414">
        <v>145816.89418304947</v>
      </c>
      <c r="I99" s="431">
        <v>145816.89418304947</v>
      </c>
      <c r="J99" s="54">
        <f>+I99-H99</f>
        <v>0</v>
      </c>
      <c r="K99" s="54"/>
      <c r="L99" s="53">
        <f>+H99</f>
        <v>145816.89418304947</v>
      </c>
      <c r="M99" s="53">
        <f t="shared" ref="M99" si="20">IF(L99&lt;&gt;0,+H99-L99,0)</f>
        <v>0</v>
      </c>
      <c r="N99" s="53">
        <f>+I99</f>
        <v>145816.89418304947</v>
      </c>
      <c r="O99" s="53">
        <f t="shared" ref="O99:O130" si="21">IF(N99&lt;&gt;0,+I99-N99,0)</f>
        <v>0</v>
      </c>
      <c r="P99" s="53">
        <f t="shared" ref="P99:P130" si="22">+O99-M99</f>
        <v>0</v>
      </c>
    </row>
    <row r="100" spans="1:16">
      <c r="B100" s="7" t="str">
        <f>IF(D100=F99,"","IU")</f>
        <v>IU</v>
      </c>
      <c r="C100" s="50">
        <f>IF(D93="","-",+C99+1)</f>
        <v>2021</v>
      </c>
      <c r="D100" s="411">
        <v>2537089</v>
      </c>
      <c r="E100" s="412">
        <v>61880</v>
      </c>
      <c r="F100" s="413">
        <v>2475209</v>
      </c>
      <c r="G100" s="413">
        <v>2506149</v>
      </c>
      <c r="H100" s="430">
        <v>347061.69446301</v>
      </c>
      <c r="I100" s="431">
        <v>347061.69446301</v>
      </c>
      <c r="J100" s="54">
        <f t="shared" ref="J100:J130" si="23">+I100-H100</f>
        <v>0</v>
      </c>
      <c r="K100" s="54"/>
      <c r="L100" s="350">
        <f>H100</f>
        <v>347061.69446301</v>
      </c>
      <c r="M100" s="63">
        <f>IF(L100&lt;&gt;0,+H100-L100,0)</f>
        <v>0</v>
      </c>
      <c r="N100" s="350">
        <f>I100</f>
        <v>347061.69446301</v>
      </c>
      <c r="O100" s="54">
        <f t="shared" si="21"/>
        <v>0</v>
      </c>
      <c r="P100" s="54">
        <f t="shared" si="22"/>
        <v>0</v>
      </c>
    </row>
    <row r="101" spans="1:16">
      <c r="B101" s="7" t="str">
        <f t="shared" ref="B101:B154" si="24">IF(D101=F100,"","IU")</f>
        <v>IU</v>
      </c>
      <c r="C101" s="50">
        <f>IF(D93="","-",+C100+1)</f>
        <v>2022</v>
      </c>
      <c r="D101" s="411">
        <v>2332914</v>
      </c>
      <c r="E101" s="412">
        <v>61405</v>
      </c>
      <c r="F101" s="413">
        <v>2271509</v>
      </c>
      <c r="G101" s="413">
        <v>2302211.5</v>
      </c>
      <c r="H101" s="430">
        <v>315068.77055082901</v>
      </c>
      <c r="I101" s="431">
        <v>315068.77055082901</v>
      </c>
      <c r="J101" s="54">
        <f t="shared" si="23"/>
        <v>0</v>
      </c>
      <c r="K101" s="54"/>
      <c r="L101" s="350">
        <f>H101</f>
        <v>315068.77055082901</v>
      </c>
      <c r="M101" s="63">
        <f>IF(L101&lt;&gt;0,+H101-L101,0)</f>
        <v>0</v>
      </c>
      <c r="N101" s="350">
        <f>I101</f>
        <v>315068.77055082901</v>
      </c>
      <c r="O101" s="54">
        <f t="shared" ref="O101" si="25">IF(N101&lt;&gt;0,+I101-N101,0)</f>
        <v>0</v>
      </c>
      <c r="P101" s="54">
        <f t="shared" si="22"/>
        <v>0</v>
      </c>
    </row>
    <row r="102" spans="1:16">
      <c r="B102" s="7" t="str">
        <f t="shared" si="24"/>
        <v>IU</v>
      </c>
      <c r="C102" s="50">
        <f>IF(D93="","-",+C101+1)</f>
        <v>2023</v>
      </c>
      <c r="D102" s="411">
        <v>2271067.8200000003</v>
      </c>
      <c r="E102" s="412">
        <v>63009</v>
      </c>
      <c r="F102" s="413">
        <v>2208058.8200000003</v>
      </c>
      <c r="G102" s="413">
        <v>2239563.3200000003</v>
      </c>
      <c r="H102" s="430">
        <v>318827.71817469696</v>
      </c>
      <c r="I102" s="431">
        <v>318827.71817469696</v>
      </c>
      <c r="J102" s="54">
        <f t="shared" si="23"/>
        <v>0</v>
      </c>
      <c r="K102" s="54"/>
      <c r="L102" s="350">
        <f>H102</f>
        <v>318827.71817469696</v>
      </c>
      <c r="M102" s="63">
        <f>IF(L102&lt;&gt;0,+H102-L102,0)</f>
        <v>0</v>
      </c>
      <c r="N102" s="350">
        <f>I102</f>
        <v>318827.71817469696</v>
      </c>
      <c r="O102" s="54">
        <f t="shared" ref="O102" si="26">IF(N102&lt;&gt;0,+I102-N102,0)</f>
        <v>0</v>
      </c>
      <c r="P102" s="54">
        <f t="shared" si="22"/>
        <v>0</v>
      </c>
    </row>
    <row r="103" spans="1:16">
      <c r="B103" s="7" t="str">
        <f t="shared" si="24"/>
        <v/>
      </c>
      <c r="C103" s="50">
        <f>IF(D93="","-",+C102+1)</f>
        <v>2024</v>
      </c>
      <c r="D103" s="411">
        <v>2208058.8200000003</v>
      </c>
      <c r="E103" s="412">
        <v>64712</v>
      </c>
      <c r="F103" s="413">
        <v>2143346.8200000003</v>
      </c>
      <c r="G103" s="413">
        <v>2175702.8200000003</v>
      </c>
      <c r="H103" s="430">
        <v>356949.59559786896</v>
      </c>
      <c r="I103" s="431">
        <v>356949.59559786896</v>
      </c>
      <c r="J103" s="54">
        <f t="shared" si="23"/>
        <v>0</v>
      </c>
      <c r="K103" s="54"/>
      <c r="L103" s="350">
        <f>H103</f>
        <v>356949.59559786896</v>
      </c>
      <c r="M103" s="63">
        <f>IF(L103&lt;&gt;0,+H103-L103,0)</f>
        <v>0</v>
      </c>
      <c r="N103" s="350">
        <f>I103</f>
        <v>356949.59559786896</v>
      </c>
      <c r="O103" s="54">
        <f t="shared" ref="O103" si="27">IF(N103&lt;&gt;0,+I103-N103,0)</f>
        <v>0</v>
      </c>
      <c r="P103" s="54">
        <f t="shared" si="22"/>
        <v>0</v>
      </c>
    </row>
    <row r="104" spans="1:16">
      <c r="B104" s="7" t="str">
        <f t="shared" si="24"/>
        <v/>
      </c>
      <c r="C104" s="50">
        <f>IF(D93="","-",+C103+1)</f>
        <v>2025</v>
      </c>
      <c r="D104" s="12">
        <f>IF(F103+SUM(E$99:E103)=D$92,F103,D$92-SUM(E$99:E103))</f>
        <v>2143346.8200000003</v>
      </c>
      <c r="E104" s="354">
        <f t="shared" ref="E104:E154" si="28">IF(+J$96&lt;F103,J$96,D104)</f>
        <v>64712</v>
      </c>
      <c r="F104" s="55">
        <f t="shared" ref="F104:F154" si="29">+D104-E104</f>
        <v>2078634.8200000003</v>
      </c>
      <c r="G104" s="55">
        <f t="shared" ref="G104:G154" si="30">+(F104+D104)/2</f>
        <v>2110990.8200000003</v>
      </c>
      <c r="H104" s="355">
        <f t="shared" ref="H104:H153" si="31">(D104+F104)/2*J$94+E104</f>
        <v>317231.01583691651</v>
      </c>
      <c r="I104" s="381">
        <f t="shared" ref="I104:I153" si="32">+J$95*G104+E104</f>
        <v>317231.01583691651</v>
      </c>
      <c r="J104" s="54">
        <f t="shared" si="23"/>
        <v>0</v>
      </c>
      <c r="K104" s="54"/>
      <c r="L104" s="115"/>
      <c r="M104" s="54">
        <f t="shared" ref="M104:M130" si="33">IF(L104&lt;&gt;0,+H104-L104,0)</f>
        <v>0</v>
      </c>
      <c r="N104" s="115"/>
      <c r="O104" s="54">
        <f t="shared" si="21"/>
        <v>0</v>
      </c>
      <c r="P104" s="54">
        <f t="shared" si="22"/>
        <v>0</v>
      </c>
    </row>
    <row r="105" spans="1:16">
      <c r="B105" s="7" t="str">
        <f t="shared" si="24"/>
        <v/>
      </c>
      <c r="C105" s="50">
        <f>IF(D93="","-",+C104+1)</f>
        <v>2026</v>
      </c>
      <c r="D105" s="12">
        <f>IF(F104+SUM(E$99:E104)=D$92,F104,D$92-SUM(E$99:E104))</f>
        <v>2078634.8200000003</v>
      </c>
      <c r="E105" s="354">
        <f t="shared" si="28"/>
        <v>64712</v>
      </c>
      <c r="F105" s="55">
        <f t="shared" si="29"/>
        <v>2013922.8200000003</v>
      </c>
      <c r="G105" s="55">
        <f t="shared" si="30"/>
        <v>2046278.8200000003</v>
      </c>
      <c r="H105" s="355">
        <f t="shared" si="31"/>
        <v>309490.09607638506</v>
      </c>
      <c r="I105" s="381">
        <f t="shared" si="32"/>
        <v>309490.09607638506</v>
      </c>
      <c r="J105" s="54">
        <f t="shared" si="23"/>
        <v>0</v>
      </c>
      <c r="K105" s="54"/>
      <c r="L105" s="115"/>
      <c r="M105" s="54">
        <f t="shared" si="33"/>
        <v>0</v>
      </c>
      <c r="N105" s="115"/>
      <c r="O105" s="54">
        <f t="shared" si="21"/>
        <v>0</v>
      </c>
      <c r="P105" s="54">
        <f t="shared" si="22"/>
        <v>0</v>
      </c>
    </row>
    <row r="106" spans="1:16">
      <c r="B106" s="7" t="str">
        <f t="shared" si="24"/>
        <v/>
      </c>
      <c r="C106" s="50">
        <f>IF(D93="","-",+C105+1)</f>
        <v>2027</v>
      </c>
      <c r="D106" s="12">
        <f>IF(F105+SUM(E$99:E105)=D$92,F105,D$92-SUM(E$99:E105))</f>
        <v>2013922.8200000003</v>
      </c>
      <c r="E106" s="354">
        <f t="shared" si="28"/>
        <v>64712</v>
      </c>
      <c r="F106" s="55">
        <f t="shared" si="29"/>
        <v>1949210.8200000003</v>
      </c>
      <c r="G106" s="55">
        <f t="shared" si="30"/>
        <v>1981566.8200000003</v>
      </c>
      <c r="H106" s="355">
        <f t="shared" si="31"/>
        <v>301749.17631585361</v>
      </c>
      <c r="I106" s="381">
        <f t="shared" si="32"/>
        <v>301749.17631585361</v>
      </c>
      <c r="J106" s="54">
        <f t="shared" si="23"/>
        <v>0</v>
      </c>
      <c r="K106" s="54"/>
      <c r="L106" s="115"/>
      <c r="M106" s="54">
        <f t="shared" si="33"/>
        <v>0</v>
      </c>
      <c r="N106" s="115"/>
      <c r="O106" s="54">
        <f t="shared" si="21"/>
        <v>0</v>
      </c>
      <c r="P106" s="54">
        <f t="shared" si="22"/>
        <v>0</v>
      </c>
    </row>
    <row r="107" spans="1:16">
      <c r="B107" s="7" t="str">
        <f t="shared" si="24"/>
        <v/>
      </c>
      <c r="C107" s="50">
        <f>IF(D93="","-",+C106+1)</f>
        <v>2028</v>
      </c>
      <c r="D107" s="12">
        <f>IF(F106+SUM(E$99:E106)=D$92,F106,D$92-SUM(E$99:E106))</f>
        <v>1949210.8200000003</v>
      </c>
      <c r="E107" s="354">
        <f t="shared" si="28"/>
        <v>64712</v>
      </c>
      <c r="F107" s="55">
        <f t="shared" si="29"/>
        <v>1884498.8200000003</v>
      </c>
      <c r="G107" s="55">
        <f t="shared" si="30"/>
        <v>1916854.8200000003</v>
      </c>
      <c r="H107" s="355">
        <f t="shared" si="31"/>
        <v>294008.25655532209</v>
      </c>
      <c r="I107" s="381">
        <f t="shared" si="32"/>
        <v>294008.25655532209</v>
      </c>
      <c r="J107" s="54">
        <f t="shared" si="23"/>
        <v>0</v>
      </c>
      <c r="K107" s="54"/>
      <c r="L107" s="115"/>
      <c r="M107" s="54">
        <f t="shared" si="33"/>
        <v>0</v>
      </c>
      <c r="N107" s="115"/>
      <c r="O107" s="54">
        <f t="shared" si="21"/>
        <v>0</v>
      </c>
      <c r="P107" s="54">
        <f t="shared" si="22"/>
        <v>0</v>
      </c>
    </row>
    <row r="108" spans="1:16">
      <c r="B108" s="7" t="str">
        <f t="shared" si="24"/>
        <v/>
      </c>
      <c r="C108" s="50">
        <f>IF(D93="","-",+C107+1)</f>
        <v>2029</v>
      </c>
      <c r="D108" s="12">
        <f>IF(F107+SUM(E$99:E107)=D$92,F107,D$92-SUM(E$99:E107))</f>
        <v>1884498.8200000003</v>
      </c>
      <c r="E108" s="354">
        <f t="shared" si="28"/>
        <v>64712</v>
      </c>
      <c r="F108" s="55">
        <f t="shared" si="29"/>
        <v>1819786.8200000003</v>
      </c>
      <c r="G108" s="55">
        <f t="shared" si="30"/>
        <v>1852142.8200000003</v>
      </c>
      <c r="H108" s="355">
        <f t="shared" si="31"/>
        <v>286267.33679479064</v>
      </c>
      <c r="I108" s="381">
        <f t="shared" si="32"/>
        <v>286267.33679479064</v>
      </c>
      <c r="J108" s="54">
        <f t="shared" si="23"/>
        <v>0</v>
      </c>
      <c r="K108" s="54"/>
      <c r="L108" s="115"/>
      <c r="M108" s="54">
        <f t="shared" si="33"/>
        <v>0</v>
      </c>
      <c r="N108" s="115"/>
      <c r="O108" s="54">
        <f t="shared" si="21"/>
        <v>0</v>
      </c>
      <c r="P108" s="54">
        <f t="shared" si="22"/>
        <v>0</v>
      </c>
    </row>
    <row r="109" spans="1:16">
      <c r="B109" s="7" t="str">
        <f t="shared" si="24"/>
        <v/>
      </c>
      <c r="C109" s="50">
        <f>IF(D93="","-",+C108+1)</f>
        <v>2030</v>
      </c>
      <c r="D109" s="12">
        <f>IF(F108+SUM(E$99:E108)=D$92,F108,D$92-SUM(E$99:E108))</f>
        <v>1819786.8200000003</v>
      </c>
      <c r="E109" s="354">
        <f t="shared" si="28"/>
        <v>64712</v>
      </c>
      <c r="F109" s="55">
        <f t="shared" si="29"/>
        <v>1755074.8200000003</v>
      </c>
      <c r="G109" s="55">
        <f t="shared" si="30"/>
        <v>1787430.8200000003</v>
      </c>
      <c r="H109" s="355">
        <f t="shared" si="31"/>
        <v>278526.41703425918</v>
      </c>
      <c r="I109" s="381">
        <f t="shared" si="32"/>
        <v>278526.41703425918</v>
      </c>
      <c r="J109" s="54">
        <f t="shared" si="23"/>
        <v>0</v>
      </c>
      <c r="K109" s="54"/>
      <c r="L109" s="115"/>
      <c r="M109" s="54">
        <f t="shared" si="33"/>
        <v>0</v>
      </c>
      <c r="N109" s="115"/>
      <c r="O109" s="54">
        <f t="shared" si="21"/>
        <v>0</v>
      </c>
      <c r="P109" s="54">
        <f t="shared" si="22"/>
        <v>0</v>
      </c>
    </row>
    <row r="110" spans="1:16">
      <c r="B110" s="7" t="str">
        <f t="shared" si="24"/>
        <v/>
      </c>
      <c r="C110" s="50">
        <f>IF(D93="","-",+C109+1)</f>
        <v>2031</v>
      </c>
      <c r="D110" s="12">
        <f>IF(F109+SUM(E$99:E109)=D$92,F109,D$92-SUM(E$99:E109))</f>
        <v>1755074.8200000003</v>
      </c>
      <c r="E110" s="354">
        <f t="shared" si="28"/>
        <v>64712</v>
      </c>
      <c r="F110" s="55">
        <f t="shared" si="29"/>
        <v>1690362.8200000003</v>
      </c>
      <c r="G110" s="55">
        <f t="shared" si="30"/>
        <v>1722718.8200000003</v>
      </c>
      <c r="H110" s="355">
        <f t="shared" si="31"/>
        <v>270785.49727372767</v>
      </c>
      <c r="I110" s="381">
        <f t="shared" si="32"/>
        <v>270785.49727372767</v>
      </c>
      <c r="J110" s="54">
        <f t="shared" si="23"/>
        <v>0</v>
      </c>
      <c r="K110" s="54"/>
      <c r="L110" s="115"/>
      <c r="M110" s="54">
        <f t="shared" si="33"/>
        <v>0</v>
      </c>
      <c r="N110" s="115"/>
      <c r="O110" s="54">
        <f t="shared" si="21"/>
        <v>0</v>
      </c>
      <c r="P110" s="54">
        <f t="shared" si="22"/>
        <v>0</v>
      </c>
    </row>
    <row r="111" spans="1:16">
      <c r="B111" s="7" t="str">
        <f t="shared" si="24"/>
        <v/>
      </c>
      <c r="C111" s="50">
        <f>IF(D93="","-",+C110+1)</f>
        <v>2032</v>
      </c>
      <c r="D111" s="12">
        <f>IF(F110+SUM(E$99:E110)=D$92,F110,D$92-SUM(E$99:E110))</f>
        <v>1690362.8200000003</v>
      </c>
      <c r="E111" s="354">
        <f t="shared" si="28"/>
        <v>64712</v>
      </c>
      <c r="F111" s="55">
        <f t="shared" si="29"/>
        <v>1625650.8200000003</v>
      </c>
      <c r="G111" s="55">
        <f t="shared" si="30"/>
        <v>1658006.8200000003</v>
      </c>
      <c r="H111" s="355">
        <f t="shared" si="31"/>
        <v>263044.57751319621</v>
      </c>
      <c r="I111" s="381">
        <f t="shared" si="32"/>
        <v>263044.57751319621</v>
      </c>
      <c r="J111" s="54">
        <f t="shared" si="23"/>
        <v>0</v>
      </c>
      <c r="K111" s="54"/>
      <c r="L111" s="115"/>
      <c r="M111" s="54">
        <f t="shared" si="33"/>
        <v>0</v>
      </c>
      <c r="N111" s="115"/>
      <c r="O111" s="54">
        <f t="shared" si="21"/>
        <v>0</v>
      </c>
      <c r="P111" s="54">
        <f t="shared" si="22"/>
        <v>0</v>
      </c>
    </row>
    <row r="112" spans="1:16">
      <c r="B112" s="7" t="str">
        <f t="shared" si="24"/>
        <v/>
      </c>
      <c r="C112" s="50">
        <f>IF(D93="","-",+C111+1)</f>
        <v>2033</v>
      </c>
      <c r="D112" s="12">
        <f>IF(F111+SUM(E$99:E111)=D$92,F111,D$92-SUM(E$99:E111))</f>
        <v>1625650.8200000003</v>
      </c>
      <c r="E112" s="354">
        <f t="shared" si="28"/>
        <v>64712</v>
      </c>
      <c r="F112" s="55">
        <f t="shared" si="29"/>
        <v>1560938.8200000003</v>
      </c>
      <c r="G112" s="55">
        <f t="shared" si="30"/>
        <v>1593294.8200000003</v>
      </c>
      <c r="H112" s="355">
        <f t="shared" si="31"/>
        <v>255303.65775266476</v>
      </c>
      <c r="I112" s="381">
        <f t="shared" si="32"/>
        <v>255303.65775266476</v>
      </c>
      <c r="J112" s="54">
        <f t="shared" si="23"/>
        <v>0</v>
      </c>
      <c r="K112" s="54"/>
      <c r="L112" s="115"/>
      <c r="M112" s="54">
        <f t="shared" si="33"/>
        <v>0</v>
      </c>
      <c r="N112" s="115"/>
      <c r="O112" s="54">
        <f t="shared" si="21"/>
        <v>0</v>
      </c>
      <c r="P112" s="54">
        <f t="shared" si="22"/>
        <v>0</v>
      </c>
    </row>
    <row r="113" spans="2:16">
      <c r="B113" s="7" t="str">
        <f t="shared" si="24"/>
        <v/>
      </c>
      <c r="C113" s="50">
        <f>IF(D93="","-",+C112+1)</f>
        <v>2034</v>
      </c>
      <c r="D113" s="12">
        <f>IF(F112+SUM(E$99:E112)=D$92,F112,D$92-SUM(E$99:E112))</f>
        <v>1560938.8200000003</v>
      </c>
      <c r="E113" s="354">
        <f t="shared" si="28"/>
        <v>64712</v>
      </c>
      <c r="F113" s="55">
        <f t="shared" si="29"/>
        <v>1496226.8200000003</v>
      </c>
      <c r="G113" s="55">
        <f t="shared" si="30"/>
        <v>1528582.8200000003</v>
      </c>
      <c r="H113" s="355">
        <f t="shared" si="31"/>
        <v>247562.73799213328</v>
      </c>
      <c r="I113" s="381">
        <f t="shared" si="32"/>
        <v>247562.73799213328</v>
      </c>
      <c r="J113" s="54">
        <f t="shared" si="23"/>
        <v>0</v>
      </c>
      <c r="K113" s="54"/>
      <c r="L113" s="115"/>
      <c r="M113" s="54">
        <f t="shared" si="33"/>
        <v>0</v>
      </c>
      <c r="N113" s="115"/>
      <c r="O113" s="54">
        <f t="shared" si="21"/>
        <v>0</v>
      </c>
      <c r="P113" s="54">
        <f t="shared" si="22"/>
        <v>0</v>
      </c>
    </row>
    <row r="114" spans="2:16">
      <c r="B114" s="7" t="str">
        <f t="shared" si="24"/>
        <v/>
      </c>
      <c r="C114" s="50">
        <f>IF(D93="","-",+C113+1)</f>
        <v>2035</v>
      </c>
      <c r="D114" s="12">
        <f>IF(F113+SUM(E$99:E113)=D$92,F113,D$92-SUM(E$99:E113))</f>
        <v>1496226.8200000003</v>
      </c>
      <c r="E114" s="354">
        <f t="shared" si="28"/>
        <v>64712</v>
      </c>
      <c r="F114" s="55">
        <f t="shared" si="29"/>
        <v>1431514.8200000003</v>
      </c>
      <c r="G114" s="55">
        <f t="shared" si="30"/>
        <v>1463870.8200000003</v>
      </c>
      <c r="H114" s="355">
        <f t="shared" si="31"/>
        <v>239821.81823160179</v>
      </c>
      <c r="I114" s="381">
        <f t="shared" si="32"/>
        <v>239821.81823160179</v>
      </c>
      <c r="J114" s="54">
        <f t="shared" si="23"/>
        <v>0</v>
      </c>
      <c r="K114" s="54"/>
      <c r="L114" s="115"/>
      <c r="M114" s="54">
        <f t="shared" si="33"/>
        <v>0</v>
      </c>
      <c r="N114" s="115"/>
      <c r="O114" s="54">
        <f t="shared" si="21"/>
        <v>0</v>
      </c>
      <c r="P114" s="54">
        <f t="shared" si="22"/>
        <v>0</v>
      </c>
    </row>
    <row r="115" spans="2:16">
      <c r="B115" s="7" t="str">
        <f t="shared" si="24"/>
        <v/>
      </c>
      <c r="C115" s="50">
        <f>IF(D93="","-",+C114+1)</f>
        <v>2036</v>
      </c>
      <c r="D115" s="12">
        <f>IF(F114+SUM(E$99:E114)=D$92,F114,D$92-SUM(E$99:E114))</f>
        <v>1431514.8200000003</v>
      </c>
      <c r="E115" s="354">
        <f t="shared" si="28"/>
        <v>64712</v>
      </c>
      <c r="F115" s="55">
        <f t="shared" si="29"/>
        <v>1366802.8200000003</v>
      </c>
      <c r="G115" s="55">
        <f t="shared" si="30"/>
        <v>1399158.8200000003</v>
      </c>
      <c r="H115" s="355">
        <f t="shared" si="31"/>
        <v>232080.89847107034</v>
      </c>
      <c r="I115" s="381">
        <f t="shared" si="32"/>
        <v>232080.89847107034</v>
      </c>
      <c r="J115" s="54">
        <f t="shared" si="23"/>
        <v>0</v>
      </c>
      <c r="K115" s="54"/>
      <c r="L115" s="115"/>
      <c r="M115" s="54">
        <f t="shared" si="33"/>
        <v>0</v>
      </c>
      <c r="N115" s="115"/>
      <c r="O115" s="54">
        <f t="shared" si="21"/>
        <v>0</v>
      </c>
      <c r="P115" s="54">
        <f t="shared" si="22"/>
        <v>0</v>
      </c>
    </row>
    <row r="116" spans="2:16">
      <c r="B116" s="7" t="str">
        <f t="shared" si="24"/>
        <v/>
      </c>
      <c r="C116" s="50">
        <f>IF(D93="","-",+C115+1)</f>
        <v>2037</v>
      </c>
      <c r="D116" s="12">
        <f>IF(F115+SUM(E$99:E115)=D$92,F115,D$92-SUM(E$99:E115))</f>
        <v>1366802.8200000003</v>
      </c>
      <c r="E116" s="354">
        <f t="shared" si="28"/>
        <v>64712</v>
      </c>
      <c r="F116" s="55">
        <f t="shared" si="29"/>
        <v>1302090.8200000003</v>
      </c>
      <c r="G116" s="55">
        <f t="shared" si="30"/>
        <v>1334446.8200000003</v>
      </c>
      <c r="H116" s="355">
        <f t="shared" si="31"/>
        <v>224339.97871053885</v>
      </c>
      <c r="I116" s="381">
        <f t="shared" si="32"/>
        <v>224339.97871053885</v>
      </c>
      <c r="J116" s="54">
        <f t="shared" si="23"/>
        <v>0</v>
      </c>
      <c r="K116" s="54"/>
      <c r="L116" s="115"/>
      <c r="M116" s="54">
        <f t="shared" si="33"/>
        <v>0</v>
      </c>
      <c r="N116" s="115"/>
      <c r="O116" s="54">
        <f t="shared" si="21"/>
        <v>0</v>
      </c>
      <c r="P116" s="54">
        <f t="shared" si="22"/>
        <v>0</v>
      </c>
    </row>
    <row r="117" spans="2:16">
      <c r="B117" s="7" t="str">
        <f t="shared" si="24"/>
        <v/>
      </c>
      <c r="C117" s="50">
        <f>IF(D93="","-",+C116+1)</f>
        <v>2038</v>
      </c>
      <c r="D117" s="12">
        <f>IF(F116+SUM(E$99:E116)=D$92,F116,D$92-SUM(E$99:E116))</f>
        <v>1302090.8200000003</v>
      </c>
      <c r="E117" s="354">
        <f t="shared" si="28"/>
        <v>64712</v>
      </c>
      <c r="F117" s="55">
        <f t="shared" si="29"/>
        <v>1237378.8200000003</v>
      </c>
      <c r="G117" s="55">
        <f t="shared" si="30"/>
        <v>1269734.8200000003</v>
      </c>
      <c r="H117" s="355">
        <f t="shared" si="31"/>
        <v>216599.05895000737</v>
      </c>
      <c r="I117" s="381">
        <f t="shared" si="32"/>
        <v>216599.05895000737</v>
      </c>
      <c r="J117" s="54">
        <f t="shared" si="23"/>
        <v>0</v>
      </c>
      <c r="K117" s="54"/>
      <c r="L117" s="115"/>
      <c r="M117" s="54">
        <f t="shared" si="33"/>
        <v>0</v>
      </c>
      <c r="N117" s="115"/>
      <c r="O117" s="54">
        <f t="shared" si="21"/>
        <v>0</v>
      </c>
      <c r="P117" s="54">
        <f t="shared" si="22"/>
        <v>0</v>
      </c>
    </row>
    <row r="118" spans="2:16">
      <c r="B118" s="7" t="str">
        <f t="shared" si="24"/>
        <v/>
      </c>
      <c r="C118" s="50">
        <f>IF(D93="","-",+C117+1)</f>
        <v>2039</v>
      </c>
      <c r="D118" s="12">
        <f>IF(F117+SUM(E$99:E117)=D$92,F117,D$92-SUM(E$99:E117))</f>
        <v>1237378.8200000003</v>
      </c>
      <c r="E118" s="354">
        <f t="shared" si="28"/>
        <v>64712</v>
      </c>
      <c r="F118" s="55">
        <f t="shared" si="29"/>
        <v>1172666.8200000003</v>
      </c>
      <c r="G118" s="55">
        <f t="shared" si="30"/>
        <v>1205022.8200000003</v>
      </c>
      <c r="H118" s="355">
        <f t="shared" si="31"/>
        <v>208858.13918947589</v>
      </c>
      <c r="I118" s="381">
        <f t="shared" si="32"/>
        <v>208858.13918947589</v>
      </c>
      <c r="J118" s="54">
        <f t="shared" si="23"/>
        <v>0</v>
      </c>
      <c r="K118" s="54"/>
      <c r="L118" s="115"/>
      <c r="M118" s="54">
        <f t="shared" si="33"/>
        <v>0</v>
      </c>
      <c r="N118" s="115"/>
      <c r="O118" s="54">
        <f t="shared" si="21"/>
        <v>0</v>
      </c>
      <c r="P118" s="54">
        <f t="shared" si="22"/>
        <v>0</v>
      </c>
    </row>
    <row r="119" spans="2:16">
      <c r="B119" s="7" t="str">
        <f t="shared" si="24"/>
        <v/>
      </c>
      <c r="C119" s="50">
        <f>IF(D93="","-",+C118+1)</f>
        <v>2040</v>
      </c>
      <c r="D119" s="12">
        <f>IF(F118+SUM(E$99:E118)=D$92,F118,D$92-SUM(E$99:E118))</f>
        <v>1172666.8200000003</v>
      </c>
      <c r="E119" s="354">
        <f t="shared" si="28"/>
        <v>64712</v>
      </c>
      <c r="F119" s="55">
        <f t="shared" si="29"/>
        <v>1107954.8200000003</v>
      </c>
      <c r="G119" s="55">
        <f t="shared" si="30"/>
        <v>1140310.8200000003</v>
      </c>
      <c r="H119" s="355">
        <f t="shared" si="31"/>
        <v>201117.21942894443</v>
      </c>
      <c r="I119" s="381">
        <f t="shared" si="32"/>
        <v>201117.21942894443</v>
      </c>
      <c r="J119" s="54">
        <f t="shared" si="23"/>
        <v>0</v>
      </c>
      <c r="K119" s="54"/>
      <c r="L119" s="115"/>
      <c r="M119" s="54">
        <f t="shared" si="33"/>
        <v>0</v>
      </c>
      <c r="N119" s="115"/>
      <c r="O119" s="54">
        <f t="shared" si="21"/>
        <v>0</v>
      </c>
      <c r="P119" s="54">
        <f t="shared" si="22"/>
        <v>0</v>
      </c>
    </row>
    <row r="120" spans="2:16">
      <c r="B120" s="7" t="str">
        <f t="shared" si="24"/>
        <v/>
      </c>
      <c r="C120" s="50">
        <f>IF(D93="","-",+C119+1)</f>
        <v>2041</v>
      </c>
      <c r="D120" s="12">
        <f>IF(F119+SUM(E$99:E119)=D$92,F119,D$92-SUM(E$99:E119))</f>
        <v>1107954.8200000003</v>
      </c>
      <c r="E120" s="354">
        <f t="shared" si="28"/>
        <v>64712</v>
      </c>
      <c r="F120" s="55">
        <f t="shared" si="29"/>
        <v>1043242.8200000003</v>
      </c>
      <c r="G120" s="55">
        <f t="shared" si="30"/>
        <v>1075598.8200000003</v>
      </c>
      <c r="H120" s="355">
        <f t="shared" si="31"/>
        <v>193376.29966841295</v>
      </c>
      <c r="I120" s="381">
        <f t="shared" si="32"/>
        <v>193376.29966841295</v>
      </c>
      <c r="J120" s="54">
        <f t="shared" si="23"/>
        <v>0</v>
      </c>
      <c r="K120" s="54"/>
      <c r="L120" s="115"/>
      <c r="M120" s="54">
        <f t="shared" si="33"/>
        <v>0</v>
      </c>
      <c r="N120" s="115"/>
      <c r="O120" s="54">
        <f t="shared" si="21"/>
        <v>0</v>
      </c>
      <c r="P120" s="54">
        <f t="shared" si="22"/>
        <v>0</v>
      </c>
    </row>
    <row r="121" spans="2:16">
      <c r="B121" s="7" t="str">
        <f t="shared" si="24"/>
        <v/>
      </c>
      <c r="C121" s="50">
        <f>IF(D93="","-",+C120+1)</f>
        <v>2042</v>
      </c>
      <c r="D121" s="12">
        <f>IF(F120+SUM(E$99:E120)=D$92,F120,D$92-SUM(E$99:E120))</f>
        <v>1043242.8200000003</v>
      </c>
      <c r="E121" s="354">
        <f t="shared" si="28"/>
        <v>64712</v>
      </c>
      <c r="F121" s="55">
        <f t="shared" si="29"/>
        <v>978530.8200000003</v>
      </c>
      <c r="G121" s="55">
        <f t="shared" si="30"/>
        <v>1010886.8200000003</v>
      </c>
      <c r="H121" s="355">
        <f t="shared" si="31"/>
        <v>185635.37990788149</v>
      </c>
      <c r="I121" s="381">
        <f t="shared" si="32"/>
        <v>185635.37990788149</v>
      </c>
      <c r="J121" s="54">
        <f t="shared" si="23"/>
        <v>0</v>
      </c>
      <c r="K121" s="54"/>
      <c r="L121" s="115"/>
      <c r="M121" s="54">
        <f t="shared" si="33"/>
        <v>0</v>
      </c>
      <c r="N121" s="115"/>
      <c r="O121" s="54">
        <f t="shared" si="21"/>
        <v>0</v>
      </c>
      <c r="P121" s="54">
        <f t="shared" si="22"/>
        <v>0</v>
      </c>
    </row>
    <row r="122" spans="2:16">
      <c r="B122" s="7" t="str">
        <f t="shared" si="24"/>
        <v/>
      </c>
      <c r="C122" s="50">
        <f>IF(D93="","-",+C121+1)</f>
        <v>2043</v>
      </c>
      <c r="D122" s="12">
        <f>IF(F121+SUM(E$99:E121)=D$92,F121,D$92-SUM(E$99:E121))</f>
        <v>978530.8200000003</v>
      </c>
      <c r="E122" s="354">
        <f t="shared" si="28"/>
        <v>64712</v>
      </c>
      <c r="F122" s="55">
        <f t="shared" si="29"/>
        <v>913818.8200000003</v>
      </c>
      <c r="G122" s="55">
        <f t="shared" si="30"/>
        <v>946174.8200000003</v>
      </c>
      <c r="H122" s="355">
        <f t="shared" si="31"/>
        <v>177894.46014735001</v>
      </c>
      <c r="I122" s="381">
        <f t="shared" si="32"/>
        <v>177894.46014735001</v>
      </c>
      <c r="J122" s="54">
        <f t="shared" si="23"/>
        <v>0</v>
      </c>
      <c r="K122" s="54"/>
      <c r="L122" s="115"/>
      <c r="M122" s="54">
        <f t="shared" si="33"/>
        <v>0</v>
      </c>
      <c r="N122" s="115"/>
      <c r="O122" s="54">
        <f t="shared" si="21"/>
        <v>0</v>
      </c>
      <c r="P122" s="54">
        <f t="shared" si="22"/>
        <v>0</v>
      </c>
    </row>
    <row r="123" spans="2:16">
      <c r="B123" s="7" t="str">
        <f t="shared" si="24"/>
        <v/>
      </c>
      <c r="C123" s="50">
        <f>IF(D93="","-",+C122+1)</f>
        <v>2044</v>
      </c>
      <c r="D123" s="12">
        <f>IF(F122+SUM(E$99:E122)=D$92,F122,D$92-SUM(E$99:E122))</f>
        <v>913818.8200000003</v>
      </c>
      <c r="E123" s="354">
        <f t="shared" si="28"/>
        <v>64712</v>
      </c>
      <c r="F123" s="55">
        <f t="shared" si="29"/>
        <v>849106.8200000003</v>
      </c>
      <c r="G123" s="55">
        <f t="shared" si="30"/>
        <v>881462.8200000003</v>
      </c>
      <c r="H123" s="355">
        <f t="shared" si="31"/>
        <v>170153.54038681852</v>
      </c>
      <c r="I123" s="381">
        <f t="shared" si="32"/>
        <v>170153.54038681852</v>
      </c>
      <c r="J123" s="54">
        <f t="shared" si="23"/>
        <v>0</v>
      </c>
      <c r="K123" s="54"/>
      <c r="L123" s="115"/>
      <c r="M123" s="54">
        <f t="shared" si="33"/>
        <v>0</v>
      </c>
      <c r="N123" s="115"/>
      <c r="O123" s="54">
        <f t="shared" si="21"/>
        <v>0</v>
      </c>
      <c r="P123" s="54">
        <f t="shared" si="22"/>
        <v>0</v>
      </c>
    </row>
    <row r="124" spans="2:16">
      <c r="B124" s="7" t="str">
        <f t="shared" si="24"/>
        <v/>
      </c>
      <c r="C124" s="50">
        <f>IF(D93="","-",+C123+1)</f>
        <v>2045</v>
      </c>
      <c r="D124" s="12">
        <f>IF(F123+SUM(E$99:E123)=D$92,F123,D$92-SUM(E$99:E123))</f>
        <v>849106.8200000003</v>
      </c>
      <c r="E124" s="354">
        <f t="shared" si="28"/>
        <v>64712</v>
      </c>
      <c r="F124" s="55">
        <f t="shared" si="29"/>
        <v>784394.8200000003</v>
      </c>
      <c r="G124" s="55">
        <f t="shared" si="30"/>
        <v>816750.8200000003</v>
      </c>
      <c r="H124" s="355">
        <f t="shared" si="31"/>
        <v>162412.62062628707</v>
      </c>
      <c r="I124" s="381">
        <f t="shared" si="32"/>
        <v>162412.62062628707</v>
      </c>
      <c r="J124" s="54">
        <f t="shared" si="23"/>
        <v>0</v>
      </c>
      <c r="K124" s="54"/>
      <c r="L124" s="115"/>
      <c r="M124" s="54">
        <f t="shared" si="33"/>
        <v>0</v>
      </c>
      <c r="N124" s="115"/>
      <c r="O124" s="54">
        <f t="shared" si="21"/>
        <v>0</v>
      </c>
      <c r="P124" s="54">
        <f t="shared" si="22"/>
        <v>0</v>
      </c>
    </row>
    <row r="125" spans="2:16">
      <c r="B125" s="7" t="str">
        <f t="shared" si="24"/>
        <v/>
      </c>
      <c r="C125" s="50">
        <f>IF(D93="","-",+C124+1)</f>
        <v>2046</v>
      </c>
      <c r="D125" s="12">
        <f>IF(F124+SUM(E$99:E124)=D$92,F124,D$92-SUM(E$99:E124))</f>
        <v>784394.8200000003</v>
      </c>
      <c r="E125" s="354">
        <f t="shared" si="28"/>
        <v>64712</v>
      </c>
      <c r="F125" s="55">
        <f t="shared" si="29"/>
        <v>719682.8200000003</v>
      </c>
      <c r="G125" s="55">
        <f t="shared" si="30"/>
        <v>752038.8200000003</v>
      </c>
      <c r="H125" s="355">
        <f t="shared" si="31"/>
        <v>154671.70086575556</v>
      </c>
      <c r="I125" s="381">
        <f t="shared" si="32"/>
        <v>154671.70086575556</v>
      </c>
      <c r="J125" s="54">
        <f t="shared" si="23"/>
        <v>0</v>
      </c>
      <c r="K125" s="54"/>
      <c r="L125" s="115"/>
      <c r="M125" s="54">
        <f t="shared" si="33"/>
        <v>0</v>
      </c>
      <c r="N125" s="115"/>
      <c r="O125" s="54">
        <f t="shared" si="21"/>
        <v>0</v>
      </c>
      <c r="P125" s="54">
        <f t="shared" si="22"/>
        <v>0</v>
      </c>
    </row>
    <row r="126" spans="2:16">
      <c r="B126" s="7" t="str">
        <f t="shared" si="24"/>
        <v/>
      </c>
      <c r="C126" s="50">
        <f>IF(D93="","-",+C125+1)</f>
        <v>2047</v>
      </c>
      <c r="D126" s="12">
        <f>IF(F125+SUM(E$99:E125)=D$92,F125,D$92-SUM(E$99:E125))</f>
        <v>719682.8200000003</v>
      </c>
      <c r="E126" s="354">
        <f t="shared" si="28"/>
        <v>64712</v>
      </c>
      <c r="F126" s="55">
        <f t="shared" si="29"/>
        <v>654970.8200000003</v>
      </c>
      <c r="G126" s="55">
        <f t="shared" si="30"/>
        <v>687326.8200000003</v>
      </c>
      <c r="H126" s="355">
        <f t="shared" si="31"/>
        <v>146930.7811052241</v>
      </c>
      <c r="I126" s="381">
        <f t="shared" si="32"/>
        <v>146930.7811052241</v>
      </c>
      <c r="J126" s="54">
        <f t="shared" si="23"/>
        <v>0</v>
      </c>
      <c r="K126" s="54"/>
      <c r="L126" s="115"/>
      <c r="M126" s="54">
        <f t="shared" si="33"/>
        <v>0</v>
      </c>
      <c r="N126" s="115"/>
      <c r="O126" s="54">
        <f t="shared" si="21"/>
        <v>0</v>
      </c>
      <c r="P126" s="54">
        <f t="shared" si="22"/>
        <v>0</v>
      </c>
    </row>
    <row r="127" spans="2:16">
      <c r="B127" s="7" t="str">
        <f t="shared" si="24"/>
        <v/>
      </c>
      <c r="C127" s="50">
        <f>IF(D93="","-",+C126+1)</f>
        <v>2048</v>
      </c>
      <c r="D127" s="12">
        <f>IF(F126+SUM(E$99:E126)=D$92,F126,D$92-SUM(E$99:E126))</f>
        <v>654970.8200000003</v>
      </c>
      <c r="E127" s="354">
        <f t="shared" si="28"/>
        <v>64712</v>
      </c>
      <c r="F127" s="55">
        <f t="shared" si="29"/>
        <v>590258.8200000003</v>
      </c>
      <c r="G127" s="55">
        <f t="shared" si="30"/>
        <v>622614.8200000003</v>
      </c>
      <c r="H127" s="355">
        <f t="shared" si="31"/>
        <v>139189.86134469265</v>
      </c>
      <c r="I127" s="381">
        <f t="shared" si="32"/>
        <v>139189.86134469265</v>
      </c>
      <c r="J127" s="54">
        <f t="shared" si="23"/>
        <v>0</v>
      </c>
      <c r="K127" s="54"/>
      <c r="L127" s="115"/>
      <c r="M127" s="54">
        <f t="shared" si="33"/>
        <v>0</v>
      </c>
      <c r="N127" s="115"/>
      <c r="O127" s="54">
        <f t="shared" si="21"/>
        <v>0</v>
      </c>
      <c r="P127" s="54">
        <f t="shared" si="22"/>
        <v>0</v>
      </c>
    </row>
    <row r="128" spans="2:16">
      <c r="B128" s="7" t="str">
        <f t="shared" si="24"/>
        <v/>
      </c>
      <c r="C128" s="50">
        <f>IF(D93="","-",+C127+1)</f>
        <v>2049</v>
      </c>
      <c r="D128" s="12">
        <f>IF(F127+SUM(E$99:E127)=D$92,F127,D$92-SUM(E$99:E127))</f>
        <v>590258.8200000003</v>
      </c>
      <c r="E128" s="354">
        <f t="shared" si="28"/>
        <v>64712</v>
      </c>
      <c r="F128" s="55">
        <f t="shared" si="29"/>
        <v>525546.8200000003</v>
      </c>
      <c r="G128" s="55">
        <f t="shared" si="30"/>
        <v>557902.8200000003</v>
      </c>
      <c r="H128" s="355">
        <f t="shared" si="31"/>
        <v>131448.94158416113</v>
      </c>
      <c r="I128" s="381">
        <f t="shared" si="32"/>
        <v>131448.94158416113</v>
      </c>
      <c r="J128" s="54">
        <f t="shared" si="23"/>
        <v>0</v>
      </c>
      <c r="K128" s="54"/>
      <c r="L128" s="115"/>
      <c r="M128" s="54">
        <f t="shared" si="33"/>
        <v>0</v>
      </c>
      <c r="N128" s="115"/>
      <c r="O128" s="54">
        <f t="shared" si="21"/>
        <v>0</v>
      </c>
      <c r="P128" s="54">
        <f t="shared" si="22"/>
        <v>0</v>
      </c>
    </row>
    <row r="129" spans="2:16">
      <c r="B129" s="7" t="str">
        <f t="shared" si="24"/>
        <v/>
      </c>
      <c r="C129" s="50">
        <f>IF(D93="","-",+C128+1)</f>
        <v>2050</v>
      </c>
      <c r="D129" s="12">
        <f>IF(F128+SUM(E$99:E128)=D$92,F128,D$92-SUM(E$99:E128))</f>
        <v>525546.8200000003</v>
      </c>
      <c r="E129" s="354">
        <f t="shared" si="28"/>
        <v>64712</v>
      </c>
      <c r="F129" s="55">
        <f t="shared" si="29"/>
        <v>460834.8200000003</v>
      </c>
      <c r="G129" s="55">
        <f t="shared" si="30"/>
        <v>493190.8200000003</v>
      </c>
      <c r="H129" s="355">
        <f t="shared" si="31"/>
        <v>123708.02182362968</v>
      </c>
      <c r="I129" s="381">
        <f t="shared" si="32"/>
        <v>123708.02182362968</v>
      </c>
      <c r="J129" s="54">
        <f t="shared" si="23"/>
        <v>0</v>
      </c>
      <c r="K129" s="54"/>
      <c r="L129" s="115"/>
      <c r="M129" s="54">
        <f t="shared" si="33"/>
        <v>0</v>
      </c>
      <c r="N129" s="115"/>
      <c r="O129" s="54">
        <f t="shared" si="21"/>
        <v>0</v>
      </c>
      <c r="P129" s="54">
        <f t="shared" si="22"/>
        <v>0</v>
      </c>
    </row>
    <row r="130" spans="2:16">
      <c r="B130" s="7" t="str">
        <f t="shared" si="24"/>
        <v/>
      </c>
      <c r="C130" s="50">
        <f>IF(D93="","-",+C129+1)</f>
        <v>2051</v>
      </c>
      <c r="D130" s="12">
        <f>IF(F129+SUM(E$99:E129)=D$92,F129,D$92-SUM(E$99:E129))</f>
        <v>460834.8200000003</v>
      </c>
      <c r="E130" s="354">
        <f t="shared" si="28"/>
        <v>64712</v>
      </c>
      <c r="F130" s="55">
        <f t="shared" si="29"/>
        <v>396122.8200000003</v>
      </c>
      <c r="G130" s="55">
        <f t="shared" si="30"/>
        <v>428478.8200000003</v>
      </c>
      <c r="H130" s="355">
        <f t="shared" si="31"/>
        <v>115967.10206309819</v>
      </c>
      <c r="I130" s="381">
        <f t="shared" si="32"/>
        <v>115967.10206309819</v>
      </c>
      <c r="J130" s="54">
        <f t="shared" si="23"/>
        <v>0</v>
      </c>
      <c r="K130" s="54"/>
      <c r="L130" s="115"/>
      <c r="M130" s="54">
        <f t="shared" si="33"/>
        <v>0</v>
      </c>
      <c r="N130" s="115"/>
      <c r="O130" s="54">
        <f t="shared" si="21"/>
        <v>0</v>
      </c>
      <c r="P130" s="54">
        <f t="shared" si="22"/>
        <v>0</v>
      </c>
    </row>
    <row r="131" spans="2:16">
      <c r="B131" s="7" t="str">
        <f t="shared" si="24"/>
        <v/>
      </c>
      <c r="C131" s="50">
        <f>IF(D93="","-",+C130+1)</f>
        <v>2052</v>
      </c>
      <c r="D131" s="12">
        <f>IF(F130+SUM(E$99:E130)=D$92,F130,D$92-SUM(E$99:E130))</f>
        <v>396122.8200000003</v>
      </c>
      <c r="E131" s="354">
        <f t="shared" si="28"/>
        <v>64712</v>
      </c>
      <c r="F131" s="55">
        <f t="shared" si="29"/>
        <v>331410.8200000003</v>
      </c>
      <c r="G131" s="55">
        <f t="shared" si="30"/>
        <v>363766.8200000003</v>
      </c>
      <c r="H131" s="355">
        <f t="shared" si="31"/>
        <v>108226.18230256674</v>
      </c>
      <c r="I131" s="381">
        <f t="shared" si="32"/>
        <v>108226.18230256674</v>
      </c>
      <c r="J131" s="54">
        <f t="shared" ref="J131:J154" si="34">+I541-H541</f>
        <v>0</v>
      </c>
      <c r="K131" s="54"/>
      <c r="L131" s="115"/>
      <c r="M131" s="54">
        <f t="shared" ref="M131:M154" si="35">IF(L541&lt;&gt;0,+H541-L541,0)</f>
        <v>0</v>
      </c>
      <c r="N131" s="115"/>
      <c r="O131" s="54">
        <f t="shared" ref="O131:O154" si="36">IF(N541&lt;&gt;0,+I541-N541,0)</f>
        <v>0</v>
      </c>
      <c r="P131" s="54">
        <f t="shared" ref="P131:P154" si="37">+O541-M541</f>
        <v>0</v>
      </c>
    </row>
    <row r="132" spans="2:16">
      <c r="B132" s="7" t="str">
        <f t="shared" si="24"/>
        <v/>
      </c>
      <c r="C132" s="50">
        <f>IF(D93="","-",+C131+1)</f>
        <v>2053</v>
      </c>
      <c r="D132" s="12">
        <f>IF(F131+SUM(E$99:E131)=D$92,F131,D$92-SUM(E$99:E131))</f>
        <v>331410.8200000003</v>
      </c>
      <c r="E132" s="354">
        <f t="shared" si="28"/>
        <v>64712</v>
      </c>
      <c r="F132" s="55">
        <f t="shared" si="29"/>
        <v>266698.8200000003</v>
      </c>
      <c r="G132" s="55">
        <f t="shared" si="30"/>
        <v>299054.8200000003</v>
      </c>
      <c r="H132" s="355">
        <f t="shared" si="31"/>
        <v>100485.26254203526</v>
      </c>
      <c r="I132" s="381">
        <f t="shared" si="32"/>
        <v>100485.26254203526</v>
      </c>
      <c r="J132" s="54">
        <f t="shared" si="34"/>
        <v>0</v>
      </c>
      <c r="K132" s="54"/>
      <c r="L132" s="115"/>
      <c r="M132" s="54">
        <f t="shared" si="35"/>
        <v>0</v>
      </c>
      <c r="N132" s="115"/>
      <c r="O132" s="54">
        <f t="shared" si="36"/>
        <v>0</v>
      </c>
      <c r="P132" s="54">
        <f t="shared" si="37"/>
        <v>0</v>
      </c>
    </row>
    <row r="133" spans="2:16">
      <c r="B133" s="7" t="str">
        <f t="shared" si="24"/>
        <v/>
      </c>
      <c r="C133" s="50">
        <f>IF(D93="","-",+C132+1)</f>
        <v>2054</v>
      </c>
      <c r="D133" s="12">
        <f>IF(F132+SUM(E$99:E132)=D$92,F132,D$92-SUM(E$99:E132))</f>
        <v>266698.8200000003</v>
      </c>
      <c r="E133" s="354">
        <f t="shared" si="28"/>
        <v>64712</v>
      </c>
      <c r="F133" s="55">
        <f t="shared" si="29"/>
        <v>201986.8200000003</v>
      </c>
      <c r="G133" s="55">
        <f t="shared" si="30"/>
        <v>234342.8200000003</v>
      </c>
      <c r="H133" s="355">
        <f t="shared" si="31"/>
        <v>92744.342781503787</v>
      </c>
      <c r="I133" s="381">
        <f t="shared" si="32"/>
        <v>92744.342781503787</v>
      </c>
      <c r="J133" s="54">
        <f t="shared" si="34"/>
        <v>0</v>
      </c>
      <c r="K133" s="54"/>
      <c r="L133" s="115"/>
      <c r="M133" s="54">
        <f t="shared" si="35"/>
        <v>0</v>
      </c>
      <c r="N133" s="115"/>
      <c r="O133" s="54">
        <f t="shared" si="36"/>
        <v>0</v>
      </c>
      <c r="P133" s="54">
        <f t="shared" si="37"/>
        <v>0</v>
      </c>
    </row>
    <row r="134" spans="2:16">
      <c r="B134" s="7" t="str">
        <f t="shared" si="24"/>
        <v/>
      </c>
      <c r="C134" s="50">
        <f>IF(D93="","-",+C133+1)</f>
        <v>2055</v>
      </c>
      <c r="D134" s="12">
        <f>IF(F133+SUM(E$99:E133)=D$92,F133,D$92-SUM(E$99:E133))</f>
        <v>201986.8200000003</v>
      </c>
      <c r="E134" s="354">
        <f t="shared" si="28"/>
        <v>64712</v>
      </c>
      <c r="F134" s="55">
        <f t="shared" si="29"/>
        <v>137274.8200000003</v>
      </c>
      <c r="G134" s="55">
        <f t="shared" si="30"/>
        <v>169630.8200000003</v>
      </c>
      <c r="H134" s="355">
        <f t="shared" si="31"/>
        <v>85003.423020972303</v>
      </c>
      <c r="I134" s="381">
        <f t="shared" si="32"/>
        <v>85003.423020972303</v>
      </c>
      <c r="J134" s="54">
        <f t="shared" si="34"/>
        <v>0</v>
      </c>
      <c r="K134" s="54"/>
      <c r="L134" s="115"/>
      <c r="M134" s="54">
        <f t="shared" si="35"/>
        <v>0</v>
      </c>
      <c r="N134" s="115"/>
      <c r="O134" s="54">
        <f t="shared" si="36"/>
        <v>0</v>
      </c>
      <c r="P134" s="54">
        <f t="shared" si="37"/>
        <v>0</v>
      </c>
    </row>
    <row r="135" spans="2:16">
      <c r="B135" s="7" t="str">
        <f t="shared" si="24"/>
        <v/>
      </c>
      <c r="C135" s="50">
        <f>IF(D93="","-",+C134+1)</f>
        <v>2056</v>
      </c>
      <c r="D135" s="12">
        <f>IF(F134+SUM(E$99:E134)=D$92,F134,D$92-SUM(E$99:E134))</f>
        <v>137274.8200000003</v>
      </c>
      <c r="E135" s="354">
        <f t="shared" si="28"/>
        <v>64712</v>
      </c>
      <c r="F135" s="55">
        <f t="shared" si="29"/>
        <v>72562.820000000298</v>
      </c>
      <c r="G135" s="55">
        <f t="shared" si="30"/>
        <v>104918.8200000003</v>
      </c>
      <c r="H135" s="355">
        <f t="shared" si="31"/>
        <v>77262.503260440833</v>
      </c>
      <c r="I135" s="381">
        <f t="shared" si="32"/>
        <v>77262.503260440833</v>
      </c>
      <c r="J135" s="54">
        <f t="shared" si="34"/>
        <v>0</v>
      </c>
      <c r="K135" s="54"/>
      <c r="L135" s="115"/>
      <c r="M135" s="54">
        <f t="shared" si="35"/>
        <v>0</v>
      </c>
      <c r="N135" s="115"/>
      <c r="O135" s="54">
        <f t="shared" si="36"/>
        <v>0</v>
      </c>
      <c r="P135" s="54">
        <f t="shared" si="37"/>
        <v>0</v>
      </c>
    </row>
    <row r="136" spans="2:16">
      <c r="B136" s="7" t="str">
        <f t="shared" si="24"/>
        <v/>
      </c>
      <c r="C136" s="50">
        <f>IF(D93="","-",+C135+1)</f>
        <v>2057</v>
      </c>
      <c r="D136" s="12">
        <f>IF(F135+SUM(E$99:E135)=D$92,F135,D$92-SUM(E$99:E135))</f>
        <v>72562.820000000298</v>
      </c>
      <c r="E136" s="354">
        <f t="shared" si="28"/>
        <v>64712</v>
      </c>
      <c r="F136" s="55">
        <f t="shared" si="29"/>
        <v>7850.820000000298</v>
      </c>
      <c r="G136" s="55">
        <f t="shared" si="30"/>
        <v>40206.820000000298</v>
      </c>
      <c r="H136" s="355">
        <f t="shared" si="31"/>
        <v>69521.583499909364</v>
      </c>
      <c r="I136" s="381">
        <f t="shared" si="32"/>
        <v>69521.583499909364</v>
      </c>
      <c r="J136" s="54">
        <f t="shared" si="34"/>
        <v>0</v>
      </c>
      <c r="K136" s="54"/>
      <c r="L136" s="115"/>
      <c r="M136" s="54">
        <f t="shared" si="35"/>
        <v>0</v>
      </c>
      <c r="N136" s="115"/>
      <c r="O136" s="54">
        <f t="shared" si="36"/>
        <v>0</v>
      </c>
      <c r="P136" s="54">
        <f t="shared" si="37"/>
        <v>0</v>
      </c>
    </row>
    <row r="137" spans="2:16">
      <c r="B137" s="7" t="str">
        <f t="shared" si="24"/>
        <v/>
      </c>
      <c r="C137" s="50">
        <f>IF(D93="","-",+C136+1)</f>
        <v>2058</v>
      </c>
      <c r="D137" s="12">
        <f>IF(F136+SUM(E$99:E136)=D$92,F136,D$92-SUM(E$99:E136))</f>
        <v>7850.820000000298</v>
      </c>
      <c r="E137" s="354">
        <f t="shared" si="28"/>
        <v>7850.820000000298</v>
      </c>
      <c r="F137" s="55">
        <f t="shared" si="29"/>
        <v>0</v>
      </c>
      <c r="G137" s="55">
        <f t="shared" si="30"/>
        <v>3925.410000000149</v>
      </c>
      <c r="H137" s="355">
        <f t="shared" si="31"/>
        <v>8320.3818098221091</v>
      </c>
      <c r="I137" s="381">
        <f t="shared" si="32"/>
        <v>8320.3818098221091</v>
      </c>
      <c r="J137" s="54">
        <f t="shared" si="34"/>
        <v>0</v>
      </c>
      <c r="K137" s="54"/>
      <c r="L137" s="115"/>
      <c r="M137" s="54">
        <f t="shared" si="35"/>
        <v>0</v>
      </c>
      <c r="N137" s="115"/>
      <c r="O137" s="54">
        <f t="shared" si="36"/>
        <v>0</v>
      </c>
      <c r="P137" s="54">
        <f t="shared" si="37"/>
        <v>0</v>
      </c>
    </row>
    <row r="138" spans="2:16">
      <c r="B138" s="7" t="str">
        <f t="shared" si="24"/>
        <v/>
      </c>
      <c r="C138" s="50">
        <f>IF(D93="","-",+C137+1)</f>
        <v>2059</v>
      </c>
      <c r="D138" s="12">
        <f>IF(F137+SUM(E$99:E137)=D$92,F137,D$92-SUM(E$99:E137))</f>
        <v>0</v>
      </c>
      <c r="E138" s="354">
        <f t="shared" si="28"/>
        <v>0</v>
      </c>
      <c r="F138" s="55">
        <f t="shared" si="29"/>
        <v>0</v>
      </c>
      <c r="G138" s="55">
        <f t="shared" si="30"/>
        <v>0</v>
      </c>
      <c r="H138" s="355">
        <f t="shared" si="31"/>
        <v>0</v>
      </c>
      <c r="I138" s="381">
        <f t="shared" si="32"/>
        <v>0</v>
      </c>
      <c r="J138" s="54">
        <f t="shared" si="34"/>
        <v>0</v>
      </c>
      <c r="K138" s="54"/>
      <c r="L138" s="115"/>
      <c r="M138" s="54">
        <f t="shared" si="35"/>
        <v>0</v>
      </c>
      <c r="N138" s="115"/>
      <c r="O138" s="54">
        <f t="shared" si="36"/>
        <v>0</v>
      </c>
      <c r="P138" s="54">
        <f t="shared" si="37"/>
        <v>0</v>
      </c>
    </row>
    <row r="139" spans="2:16">
      <c r="B139" s="7" t="str">
        <f t="shared" si="24"/>
        <v/>
      </c>
      <c r="C139" s="50">
        <f>IF(D93="","-",+C138+1)</f>
        <v>2060</v>
      </c>
      <c r="D139" s="12">
        <f>IF(F138+SUM(E$99:E138)=D$92,F138,D$92-SUM(E$99:E138))</f>
        <v>0</v>
      </c>
      <c r="E139" s="354">
        <f t="shared" si="28"/>
        <v>0</v>
      </c>
      <c r="F139" s="55">
        <f t="shared" si="29"/>
        <v>0</v>
      </c>
      <c r="G139" s="55">
        <f t="shared" si="30"/>
        <v>0</v>
      </c>
      <c r="H139" s="355">
        <f t="shared" si="31"/>
        <v>0</v>
      </c>
      <c r="I139" s="381">
        <f t="shared" si="32"/>
        <v>0</v>
      </c>
      <c r="J139" s="54">
        <f t="shared" si="34"/>
        <v>0</v>
      </c>
      <c r="K139" s="54"/>
      <c r="L139" s="115"/>
      <c r="M139" s="54">
        <f t="shared" si="35"/>
        <v>0</v>
      </c>
      <c r="N139" s="115"/>
      <c r="O139" s="54">
        <f t="shared" si="36"/>
        <v>0</v>
      </c>
      <c r="P139" s="54">
        <f t="shared" si="37"/>
        <v>0</v>
      </c>
    </row>
    <row r="140" spans="2:16">
      <c r="B140" s="7" t="str">
        <f t="shared" si="24"/>
        <v/>
      </c>
      <c r="C140" s="50">
        <f>IF(D93="","-",+C139+1)</f>
        <v>2061</v>
      </c>
      <c r="D140" s="12">
        <f>IF(F139+SUM(E$99:E139)=D$92,F139,D$92-SUM(E$99:E139))</f>
        <v>0</v>
      </c>
      <c r="E140" s="354">
        <f t="shared" si="28"/>
        <v>0</v>
      </c>
      <c r="F140" s="55">
        <f t="shared" si="29"/>
        <v>0</v>
      </c>
      <c r="G140" s="55">
        <f t="shared" si="30"/>
        <v>0</v>
      </c>
      <c r="H140" s="355">
        <f t="shared" si="31"/>
        <v>0</v>
      </c>
      <c r="I140" s="381">
        <f t="shared" si="32"/>
        <v>0</v>
      </c>
      <c r="J140" s="54">
        <f t="shared" si="34"/>
        <v>0</v>
      </c>
      <c r="K140" s="54"/>
      <c r="L140" s="115"/>
      <c r="M140" s="54">
        <f t="shared" si="35"/>
        <v>0</v>
      </c>
      <c r="N140" s="115"/>
      <c r="O140" s="54">
        <f t="shared" si="36"/>
        <v>0</v>
      </c>
      <c r="P140" s="54">
        <f t="shared" si="37"/>
        <v>0</v>
      </c>
    </row>
    <row r="141" spans="2:16">
      <c r="B141" s="7" t="str">
        <f t="shared" si="24"/>
        <v/>
      </c>
      <c r="C141" s="50">
        <f>IF(D93="","-",+C140+1)</f>
        <v>2062</v>
      </c>
      <c r="D141" s="12">
        <f>IF(F140+SUM(E$99:E140)=D$92,F140,D$92-SUM(E$99:E140))</f>
        <v>0</v>
      </c>
      <c r="E141" s="354">
        <f t="shared" si="28"/>
        <v>0</v>
      </c>
      <c r="F141" s="55">
        <f t="shared" si="29"/>
        <v>0</v>
      </c>
      <c r="G141" s="55">
        <f t="shared" si="30"/>
        <v>0</v>
      </c>
      <c r="H141" s="355">
        <f t="shared" si="31"/>
        <v>0</v>
      </c>
      <c r="I141" s="381">
        <f t="shared" si="32"/>
        <v>0</v>
      </c>
      <c r="J141" s="54">
        <f t="shared" si="34"/>
        <v>0</v>
      </c>
      <c r="K141" s="54"/>
      <c r="L141" s="115"/>
      <c r="M141" s="54">
        <f t="shared" si="35"/>
        <v>0</v>
      </c>
      <c r="N141" s="115"/>
      <c r="O141" s="54">
        <f t="shared" si="36"/>
        <v>0</v>
      </c>
      <c r="P141" s="54">
        <f t="shared" si="37"/>
        <v>0</v>
      </c>
    </row>
    <row r="142" spans="2:16">
      <c r="B142" s="7" t="str">
        <f t="shared" si="24"/>
        <v/>
      </c>
      <c r="C142" s="50">
        <f>IF(D93="","-",+C141+1)</f>
        <v>2063</v>
      </c>
      <c r="D142" s="12">
        <f>IF(F141+SUM(E$99:E141)=D$92,F141,D$92-SUM(E$99:E141))</f>
        <v>0</v>
      </c>
      <c r="E142" s="354">
        <f t="shared" si="28"/>
        <v>0</v>
      </c>
      <c r="F142" s="55">
        <f t="shared" si="29"/>
        <v>0</v>
      </c>
      <c r="G142" s="55">
        <f t="shared" si="30"/>
        <v>0</v>
      </c>
      <c r="H142" s="355">
        <f t="shared" si="31"/>
        <v>0</v>
      </c>
      <c r="I142" s="381">
        <f t="shared" si="32"/>
        <v>0</v>
      </c>
      <c r="J142" s="54">
        <f t="shared" si="34"/>
        <v>0</v>
      </c>
      <c r="K142" s="54"/>
      <c r="L142" s="115"/>
      <c r="M142" s="54">
        <f t="shared" si="35"/>
        <v>0</v>
      </c>
      <c r="N142" s="115"/>
      <c r="O142" s="54">
        <f t="shared" si="36"/>
        <v>0</v>
      </c>
      <c r="P142" s="54">
        <f t="shared" si="37"/>
        <v>0</v>
      </c>
    </row>
    <row r="143" spans="2:16">
      <c r="B143" s="7" t="str">
        <f t="shared" si="24"/>
        <v/>
      </c>
      <c r="C143" s="50">
        <f>IF(D93="","-",+C142+1)</f>
        <v>2064</v>
      </c>
      <c r="D143" s="12">
        <f>IF(F142+SUM(E$99:E142)=D$92,F142,D$92-SUM(E$99:E142))</f>
        <v>0</v>
      </c>
      <c r="E143" s="354">
        <f t="shared" si="28"/>
        <v>0</v>
      </c>
      <c r="F143" s="55">
        <f t="shared" si="29"/>
        <v>0</v>
      </c>
      <c r="G143" s="55">
        <f t="shared" si="30"/>
        <v>0</v>
      </c>
      <c r="H143" s="355">
        <f t="shared" si="31"/>
        <v>0</v>
      </c>
      <c r="I143" s="381">
        <f t="shared" si="32"/>
        <v>0</v>
      </c>
      <c r="J143" s="54">
        <f t="shared" si="34"/>
        <v>0</v>
      </c>
      <c r="K143" s="54"/>
      <c r="L143" s="115"/>
      <c r="M143" s="54">
        <f t="shared" si="35"/>
        <v>0</v>
      </c>
      <c r="N143" s="115"/>
      <c r="O143" s="54">
        <f t="shared" si="36"/>
        <v>0</v>
      </c>
      <c r="P143" s="54">
        <f t="shared" si="37"/>
        <v>0</v>
      </c>
    </row>
    <row r="144" spans="2:16">
      <c r="B144" s="7" t="str">
        <f t="shared" si="24"/>
        <v/>
      </c>
      <c r="C144" s="50">
        <f>IF(D93="","-",+C143+1)</f>
        <v>2065</v>
      </c>
      <c r="D144" s="12">
        <f>IF(F143+SUM(E$99:E143)=D$92,F143,D$92-SUM(E$99:E143))</f>
        <v>0</v>
      </c>
      <c r="E144" s="354">
        <f t="shared" si="28"/>
        <v>0</v>
      </c>
      <c r="F144" s="55">
        <f t="shared" si="29"/>
        <v>0</v>
      </c>
      <c r="G144" s="55">
        <f t="shared" si="30"/>
        <v>0</v>
      </c>
      <c r="H144" s="355">
        <f t="shared" si="31"/>
        <v>0</v>
      </c>
      <c r="I144" s="381">
        <f t="shared" si="32"/>
        <v>0</v>
      </c>
      <c r="J144" s="54">
        <f t="shared" si="34"/>
        <v>0</v>
      </c>
      <c r="K144" s="54"/>
      <c r="L144" s="115"/>
      <c r="M144" s="54">
        <f t="shared" si="35"/>
        <v>0</v>
      </c>
      <c r="N144" s="115"/>
      <c r="O144" s="54">
        <f t="shared" si="36"/>
        <v>0</v>
      </c>
      <c r="P144" s="54">
        <f t="shared" si="37"/>
        <v>0</v>
      </c>
    </row>
    <row r="145" spans="2:16">
      <c r="B145" s="7" t="str">
        <f t="shared" si="24"/>
        <v/>
      </c>
      <c r="C145" s="50">
        <f>IF(D93="","-",+C144+1)</f>
        <v>2066</v>
      </c>
      <c r="D145" s="12">
        <f>IF(F144+SUM(E$99:E144)=D$92,F144,D$92-SUM(E$99:E144))</f>
        <v>0</v>
      </c>
      <c r="E145" s="354">
        <f t="shared" si="28"/>
        <v>0</v>
      </c>
      <c r="F145" s="55">
        <f t="shared" si="29"/>
        <v>0</v>
      </c>
      <c r="G145" s="55">
        <f t="shared" si="30"/>
        <v>0</v>
      </c>
      <c r="H145" s="355">
        <f t="shared" si="31"/>
        <v>0</v>
      </c>
      <c r="I145" s="381">
        <f t="shared" si="32"/>
        <v>0</v>
      </c>
      <c r="J145" s="54">
        <f t="shared" si="34"/>
        <v>0</v>
      </c>
      <c r="K145" s="54"/>
      <c r="L145" s="115"/>
      <c r="M145" s="54">
        <f t="shared" si="35"/>
        <v>0</v>
      </c>
      <c r="N145" s="115"/>
      <c r="O145" s="54">
        <f t="shared" si="36"/>
        <v>0</v>
      </c>
      <c r="P145" s="54">
        <f t="shared" si="37"/>
        <v>0</v>
      </c>
    </row>
    <row r="146" spans="2:16">
      <c r="B146" s="7" t="str">
        <f t="shared" si="24"/>
        <v/>
      </c>
      <c r="C146" s="50">
        <f>IF(D93="","-",+C145+1)</f>
        <v>2067</v>
      </c>
      <c r="D146" s="12">
        <f>IF(F145+SUM(E$99:E145)=D$92,F145,D$92-SUM(E$99:E145))</f>
        <v>0</v>
      </c>
      <c r="E146" s="354">
        <f t="shared" si="28"/>
        <v>0</v>
      </c>
      <c r="F146" s="55">
        <f t="shared" si="29"/>
        <v>0</v>
      </c>
      <c r="G146" s="55">
        <f t="shared" si="30"/>
        <v>0</v>
      </c>
      <c r="H146" s="355">
        <f t="shared" si="31"/>
        <v>0</v>
      </c>
      <c r="I146" s="381">
        <f t="shared" si="32"/>
        <v>0</v>
      </c>
      <c r="J146" s="54">
        <f t="shared" si="34"/>
        <v>0</v>
      </c>
      <c r="K146" s="54"/>
      <c r="L146" s="115"/>
      <c r="M146" s="54">
        <f t="shared" si="35"/>
        <v>0</v>
      </c>
      <c r="N146" s="115"/>
      <c r="O146" s="54">
        <f t="shared" si="36"/>
        <v>0</v>
      </c>
      <c r="P146" s="54">
        <f t="shared" si="37"/>
        <v>0</v>
      </c>
    </row>
    <row r="147" spans="2:16">
      <c r="B147" s="7" t="str">
        <f t="shared" si="24"/>
        <v/>
      </c>
      <c r="C147" s="50">
        <f>IF(D93="","-",+C146+1)</f>
        <v>2068</v>
      </c>
      <c r="D147" s="12">
        <f>IF(F146+SUM(E$99:E146)=D$92,F146,D$92-SUM(E$99:E146))</f>
        <v>0</v>
      </c>
      <c r="E147" s="354">
        <f t="shared" si="28"/>
        <v>0</v>
      </c>
      <c r="F147" s="55">
        <f t="shared" si="29"/>
        <v>0</v>
      </c>
      <c r="G147" s="55">
        <f t="shared" si="30"/>
        <v>0</v>
      </c>
      <c r="H147" s="355">
        <f t="shared" si="31"/>
        <v>0</v>
      </c>
      <c r="I147" s="381">
        <f t="shared" si="32"/>
        <v>0</v>
      </c>
      <c r="J147" s="54">
        <f t="shared" si="34"/>
        <v>0</v>
      </c>
      <c r="K147" s="54"/>
      <c r="L147" s="115"/>
      <c r="M147" s="54">
        <f t="shared" si="35"/>
        <v>0</v>
      </c>
      <c r="N147" s="115"/>
      <c r="O147" s="54">
        <f t="shared" si="36"/>
        <v>0</v>
      </c>
      <c r="P147" s="54">
        <f t="shared" si="37"/>
        <v>0</v>
      </c>
    </row>
    <row r="148" spans="2:16">
      <c r="B148" s="7" t="str">
        <f t="shared" si="24"/>
        <v/>
      </c>
      <c r="C148" s="50">
        <f>IF(D93="","-",+C147+1)</f>
        <v>2069</v>
      </c>
      <c r="D148" s="12">
        <f>IF(F147+SUM(E$99:E147)=D$92,F147,D$92-SUM(E$99:E147))</f>
        <v>0</v>
      </c>
      <c r="E148" s="354">
        <f t="shared" si="28"/>
        <v>0</v>
      </c>
      <c r="F148" s="55">
        <f t="shared" si="29"/>
        <v>0</v>
      </c>
      <c r="G148" s="55">
        <f t="shared" si="30"/>
        <v>0</v>
      </c>
      <c r="H148" s="355">
        <f t="shared" si="31"/>
        <v>0</v>
      </c>
      <c r="I148" s="381">
        <f t="shared" si="32"/>
        <v>0</v>
      </c>
      <c r="J148" s="54">
        <f t="shared" si="34"/>
        <v>0</v>
      </c>
      <c r="K148" s="54"/>
      <c r="L148" s="115"/>
      <c r="M148" s="54">
        <f t="shared" si="35"/>
        <v>0</v>
      </c>
      <c r="N148" s="115"/>
      <c r="O148" s="54">
        <f t="shared" si="36"/>
        <v>0</v>
      </c>
      <c r="P148" s="54">
        <f t="shared" si="37"/>
        <v>0</v>
      </c>
    </row>
    <row r="149" spans="2:16">
      <c r="B149" s="7" t="str">
        <f t="shared" si="24"/>
        <v/>
      </c>
      <c r="C149" s="50">
        <f>IF(D93="","-",+C148+1)</f>
        <v>2070</v>
      </c>
      <c r="D149" s="12">
        <f>IF(F148+SUM(E$99:E148)=D$92,F148,D$92-SUM(E$99:E148))</f>
        <v>0</v>
      </c>
      <c r="E149" s="354">
        <f t="shared" si="28"/>
        <v>0</v>
      </c>
      <c r="F149" s="55">
        <f t="shared" si="29"/>
        <v>0</v>
      </c>
      <c r="G149" s="55">
        <f t="shared" si="30"/>
        <v>0</v>
      </c>
      <c r="H149" s="355">
        <f t="shared" si="31"/>
        <v>0</v>
      </c>
      <c r="I149" s="381">
        <f t="shared" si="32"/>
        <v>0</v>
      </c>
      <c r="J149" s="54">
        <f t="shared" si="34"/>
        <v>0</v>
      </c>
      <c r="K149" s="54"/>
      <c r="L149" s="115"/>
      <c r="M149" s="54">
        <f t="shared" si="35"/>
        <v>0</v>
      </c>
      <c r="N149" s="115"/>
      <c r="O149" s="54">
        <f t="shared" si="36"/>
        <v>0</v>
      </c>
      <c r="P149" s="54">
        <f t="shared" si="37"/>
        <v>0</v>
      </c>
    </row>
    <row r="150" spans="2:16">
      <c r="B150" s="7" t="str">
        <f t="shared" si="24"/>
        <v/>
      </c>
      <c r="C150" s="50">
        <f>IF(D93="","-",+C149+1)</f>
        <v>2071</v>
      </c>
      <c r="D150" s="12">
        <f>IF(F149+SUM(E$99:E149)=D$92,F149,D$92-SUM(E$99:E149))</f>
        <v>0</v>
      </c>
      <c r="E150" s="354">
        <f t="shared" si="28"/>
        <v>0</v>
      </c>
      <c r="F150" s="55">
        <f t="shared" si="29"/>
        <v>0</v>
      </c>
      <c r="G150" s="55">
        <f t="shared" si="30"/>
        <v>0</v>
      </c>
      <c r="H150" s="355">
        <f t="shared" si="31"/>
        <v>0</v>
      </c>
      <c r="I150" s="381">
        <f t="shared" si="32"/>
        <v>0</v>
      </c>
      <c r="J150" s="54">
        <f t="shared" si="34"/>
        <v>0</v>
      </c>
      <c r="K150" s="54"/>
      <c r="L150" s="115"/>
      <c r="M150" s="54">
        <f t="shared" si="35"/>
        <v>0</v>
      </c>
      <c r="N150" s="115"/>
      <c r="O150" s="54">
        <f t="shared" si="36"/>
        <v>0</v>
      </c>
      <c r="P150" s="54">
        <f t="shared" si="37"/>
        <v>0</v>
      </c>
    </row>
    <row r="151" spans="2:16">
      <c r="B151" s="7" t="str">
        <f t="shared" si="24"/>
        <v/>
      </c>
      <c r="C151" s="50">
        <f>IF(D93="","-",+C150+1)</f>
        <v>2072</v>
      </c>
      <c r="D151" s="12">
        <f>IF(F150+SUM(E$99:E150)=D$92,F150,D$92-SUM(E$99:E150))</f>
        <v>0</v>
      </c>
      <c r="E151" s="354">
        <f t="shared" si="28"/>
        <v>0</v>
      </c>
      <c r="F151" s="55">
        <f t="shared" si="29"/>
        <v>0</v>
      </c>
      <c r="G151" s="55">
        <f t="shared" si="30"/>
        <v>0</v>
      </c>
      <c r="H151" s="355">
        <f t="shared" si="31"/>
        <v>0</v>
      </c>
      <c r="I151" s="381">
        <f t="shared" si="32"/>
        <v>0</v>
      </c>
      <c r="J151" s="54">
        <f t="shared" si="34"/>
        <v>0</v>
      </c>
      <c r="K151" s="54"/>
      <c r="L151" s="115"/>
      <c r="M151" s="54">
        <f t="shared" si="35"/>
        <v>0</v>
      </c>
      <c r="N151" s="115"/>
      <c r="O151" s="54">
        <f t="shared" si="36"/>
        <v>0</v>
      </c>
      <c r="P151" s="54">
        <f t="shared" si="37"/>
        <v>0</v>
      </c>
    </row>
    <row r="152" spans="2:16">
      <c r="B152" s="7" t="str">
        <f t="shared" si="24"/>
        <v/>
      </c>
      <c r="C152" s="50">
        <f>IF(D93="","-",+C151+1)</f>
        <v>2073</v>
      </c>
      <c r="D152" s="12">
        <f>IF(F151+SUM(E$99:E151)=D$92,F151,D$92-SUM(E$99:E151))</f>
        <v>0</v>
      </c>
      <c r="E152" s="354">
        <f t="shared" si="28"/>
        <v>0</v>
      </c>
      <c r="F152" s="55">
        <f t="shared" si="29"/>
        <v>0</v>
      </c>
      <c r="G152" s="55">
        <f t="shared" si="30"/>
        <v>0</v>
      </c>
      <c r="H152" s="355">
        <f t="shared" si="31"/>
        <v>0</v>
      </c>
      <c r="I152" s="381">
        <f t="shared" si="32"/>
        <v>0</v>
      </c>
      <c r="J152" s="54">
        <f t="shared" si="34"/>
        <v>0</v>
      </c>
      <c r="K152" s="54"/>
      <c r="L152" s="115"/>
      <c r="M152" s="54">
        <f t="shared" si="35"/>
        <v>0</v>
      </c>
      <c r="N152" s="115"/>
      <c r="O152" s="54">
        <f t="shared" si="36"/>
        <v>0</v>
      </c>
      <c r="P152" s="54">
        <f t="shared" si="37"/>
        <v>0</v>
      </c>
    </row>
    <row r="153" spans="2:16">
      <c r="B153" s="7" t="str">
        <f t="shared" si="24"/>
        <v/>
      </c>
      <c r="C153" s="50">
        <f>IF(D93="","-",+C152+1)</f>
        <v>2074</v>
      </c>
      <c r="D153" s="12">
        <f>IF(F152+SUM(E$99:E152)=D$92,F152,D$92-SUM(E$99:E152))</f>
        <v>0</v>
      </c>
      <c r="E153" s="354">
        <f t="shared" si="28"/>
        <v>0</v>
      </c>
      <c r="F153" s="55">
        <f t="shared" si="29"/>
        <v>0</v>
      </c>
      <c r="G153" s="55">
        <f t="shared" si="30"/>
        <v>0</v>
      </c>
      <c r="H153" s="355">
        <f t="shared" si="31"/>
        <v>0</v>
      </c>
      <c r="I153" s="381">
        <f t="shared" si="32"/>
        <v>0</v>
      </c>
      <c r="J153" s="54">
        <f t="shared" si="34"/>
        <v>0</v>
      </c>
      <c r="K153" s="54"/>
      <c r="L153" s="115"/>
      <c r="M153" s="54">
        <f t="shared" si="35"/>
        <v>0</v>
      </c>
      <c r="N153" s="115"/>
      <c r="O153" s="54">
        <f t="shared" si="36"/>
        <v>0</v>
      </c>
      <c r="P153" s="54">
        <f t="shared" si="37"/>
        <v>0</v>
      </c>
    </row>
    <row r="154" spans="2:16" ht="13.5" thickBot="1">
      <c r="B154" s="7" t="str">
        <f t="shared" si="24"/>
        <v/>
      </c>
      <c r="C154" s="58">
        <f>IF(D93="","-",+C153+1)</f>
        <v>2075</v>
      </c>
      <c r="D154" s="82">
        <f>IF(F153+SUM(E$99:E153)=D$92,F153,D$92-SUM(E$99:E153))</f>
        <v>0</v>
      </c>
      <c r="E154" s="357">
        <f t="shared" si="28"/>
        <v>0</v>
      </c>
      <c r="F154" s="59">
        <f t="shared" si="29"/>
        <v>0</v>
      </c>
      <c r="G154" s="59">
        <f t="shared" si="30"/>
        <v>0</v>
      </c>
      <c r="H154" s="435">
        <f t="shared" ref="H154" si="38">+J$94*G154+E154</f>
        <v>0</v>
      </c>
      <c r="I154" s="436">
        <f t="shared" ref="I154" si="39">+J$95*G154+E154</f>
        <v>0</v>
      </c>
      <c r="J154" s="62">
        <f t="shared" si="34"/>
        <v>0</v>
      </c>
      <c r="K154" s="54"/>
      <c r="L154" s="116"/>
      <c r="M154" s="62">
        <f t="shared" si="35"/>
        <v>0</v>
      </c>
      <c r="N154" s="116"/>
      <c r="O154" s="62">
        <f t="shared" si="36"/>
        <v>0</v>
      </c>
      <c r="P154" s="62">
        <f t="shared" si="37"/>
        <v>0</v>
      </c>
    </row>
    <row r="155" spans="2:16">
      <c r="C155" s="12" t="s">
        <v>77</v>
      </c>
      <c r="D155" s="266"/>
      <c r="E155" s="266">
        <f>SUM(E99:E154)</f>
        <v>2394352.8200000003</v>
      </c>
      <c r="F155" s="266"/>
      <c r="G155" s="266"/>
      <c r="H155" s="266">
        <f>SUM(H99:H154)</f>
        <v>7873462.9438369051</v>
      </c>
      <c r="I155" s="266">
        <f>SUM(I99:I154)</f>
        <v>7873462.9438369051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19" priority="1" stopIfTrue="1" operator="equal">
      <formula>$I$10</formula>
    </cfRule>
  </conditionalFormatting>
  <conditionalFormatting sqref="C99:C154">
    <cfRule type="cellIs" dxfId="1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162"/>
  <sheetViews>
    <sheetView topLeftCell="A2" zoomScale="80" zoomScaleNormal="80" workbookViewId="0">
      <selection activeCell="D93" sqref="D93"/>
    </sheetView>
  </sheetViews>
  <sheetFormatPr defaultColWidth="8.7109375" defaultRowHeight="12.75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449"/>
      <c r="C1" s="449"/>
      <c r="D1" s="450"/>
      <c r="E1" s="449"/>
      <c r="F1" s="451"/>
      <c r="G1" s="449"/>
      <c r="H1" s="45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29 of 36</v>
      </c>
    </row>
    <row r="2" spans="1:16" ht="18">
      <c r="B2" s="449"/>
      <c r="C2" s="449"/>
      <c r="D2" s="450"/>
      <c r="E2" s="449"/>
      <c r="F2" s="449"/>
      <c r="G2" s="449"/>
      <c r="H2" s="452"/>
      <c r="I2" s="449"/>
      <c r="J2" s="449"/>
      <c r="K2" s="449"/>
      <c r="L2" s="449"/>
      <c r="M2" s="449"/>
      <c r="N2" s="449"/>
      <c r="P2" s="100" t="s">
        <v>150</v>
      </c>
    </row>
    <row r="3" spans="1:16" ht="18.75">
      <c r="B3" s="4" t="s">
        <v>42</v>
      </c>
      <c r="C3" s="10" t="s">
        <v>43</v>
      </c>
      <c r="D3" s="450"/>
      <c r="E3" s="449"/>
      <c r="F3" s="449"/>
      <c r="G3" s="449"/>
      <c r="H3" s="452"/>
      <c r="I3" s="452"/>
      <c r="J3" s="453"/>
      <c r="K3" s="452"/>
      <c r="L3" s="452"/>
      <c r="M3" s="452"/>
      <c r="N3" s="452"/>
      <c r="O3" s="449"/>
      <c r="P3" s="92">
        <v>1</v>
      </c>
    </row>
    <row r="4" spans="1:16" ht="15.75" thickBot="1">
      <c r="C4" s="247"/>
      <c r="D4" s="450"/>
      <c r="E4" s="449"/>
      <c r="F4" s="449"/>
      <c r="G4" s="449"/>
      <c r="H4" s="452"/>
      <c r="I4" s="452"/>
      <c r="J4" s="453"/>
      <c r="K4" s="452"/>
      <c r="L4" s="452"/>
      <c r="M4" s="452"/>
      <c r="N4" s="452"/>
      <c r="O4" s="449"/>
      <c r="P4" s="449"/>
    </row>
    <row r="5" spans="1:16" ht="15">
      <c r="C5" s="15" t="s">
        <v>44</v>
      </c>
      <c r="D5" s="450"/>
      <c r="E5" s="449"/>
      <c r="F5" s="449"/>
      <c r="G5" s="325"/>
      <c r="H5" s="449" t="s">
        <v>45</v>
      </c>
      <c r="I5" s="449"/>
      <c r="J5" s="449"/>
      <c r="K5" s="17" t="s">
        <v>279</v>
      </c>
      <c r="L5" s="18"/>
      <c r="M5" s="454"/>
      <c r="N5" s="326">
        <f>VLOOKUP(I10,C17:I72,5)</f>
        <v>5008.7121545581331</v>
      </c>
      <c r="P5" s="449"/>
    </row>
    <row r="6" spans="1:16" ht="15.75">
      <c r="C6" s="6"/>
      <c r="D6" s="450"/>
      <c r="E6" s="449"/>
      <c r="F6" s="449"/>
      <c r="G6" s="449"/>
      <c r="H6" s="327"/>
      <c r="I6" s="327"/>
      <c r="J6" s="328"/>
      <c r="K6" s="23" t="s">
        <v>280</v>
      </c>
      <c r="L6" s="329"/>
      <c r="M6" s="449"/>
      <c r="N6" s="330">
        <f>VLOOKUP(I10,C17:I72,6)</f>
        <v>5008.7121545581331</v>
      </c>
      <c r="O6" s="449"/>
      <c r="P6" s="449"/>
    </row>
    <row r="7" spans="1:16" ht="13.5" thickBot="1">
      <c r="C7" s="26" t="s">
        <v>46</v>
      </c>
      <c r="D7" s="437" t="s">
        <v>343</v>
      </c>
      <c r="E7" s="449"/>
      <c r="F7" s="449"/>
      <c r="G7" s="449"/>
      <c r="H7" s="452"/>
      <c r="I7" s="452"/>
      <c r="J7" s="453"/>
      <c r="K7" s="332" t="s">
        <v>47</v>
      </c>
      <c r="L7" s="455"/>
      <c r="M7" s="455"/>
      <c r="N7" s="456">
        <f>+N6-N5</f>
        <v>0</v>
      </c>
      <c r="O7" s="449"/>
      <c r="P7" s="449"/>
    </row>
    <row r="8" spans="1:16" ht="13.5" thickBot="1">
      <c r="C8" s="30"/>
      <c r="D8" s="83"/>
      <c r="E8" s="457"/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49"/>
    </row>
    <row r="9" spans="1:16" ht="13.5" thickBot="1">
      <c r="C9" s="31" t="s">
        <v>48</v>
      </c>
      <c r="D9" s="90" t="s">
        <v>344</v>
      </c>
      <c r="E9" s="438" t="s">
        <v>345</v>
      </c>
      <c r="F9" s="32"/>
      <c r="G9" s="32"/>
      <c r="H9" s="32"/>
      <c r="I9" s="33"/>
      <c r="J9" s="34"/>
      <c r="P9" s="449"/>
    </row>
    <row r="10" spans="1:16">
      <c r="C10" s="458" t="s">
        <v>226</v>
      </c>
      <c r="D10" s="335">
        <v>37862.589999999997</v>
      </c>
      <c r="E10" s="449" t="s">
        <v>51</v>
      </c>
      <c r="G10" s="450"/>
      <c r="H10" s="450"/>
      <c r="I10" s="36">
        <v>2025</v>
      </c>
      <c r="J10" s="34"/>
      <c r="K10" s="453" t="s">
        <v>52</v>
      </c>
      <c r="O10" s="449"/>
      <c r="P10" s="449"/>
    </row>
    <row r="11" spans="1:16">
      <c r="C11" s="459" t="s">
        <v>53</v>
      </c>
      <c r="D11" s="38">
        <v>2022</v>
      </c>
      <c r="E11" s="459" t="s">
        <v>54</v>
      </c>
      <c r="F11" s="450"/>
      <c r="I11" s="460">
        <v>0</v>
      </c>
      <c r="J11" s="461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49"/>
      <c r="P11" s="449"/>
    </row>
    <row r="12" spans="1:16">
      <c r="C12" s="459" t="s">
        <v>55</v>
      </c>
      <c r="D12" s="335">
        <v>6</v>
      </c>
      <c r="E12" s="459" t="s">
        <v>56</v>
      </c>
      <c r="F12" s="450"/>
      <c r="I12" s="462">
        <v>0.10781124580725182</v>
      </c>
      <c r="J12" s="451"/>
      <c r="K12" t="s">
        <v>57</v>
      </c>
      <c r="O12" s="449"/>
      <c r="P12" s="449"/>
    </row>
    <row r="13" spans="1:16">
      <c r="C13" s="459" t="s">
        <v>58</v>
      </c>
      <c r="D13" s="460">
        <v>42</v>
      </c>
      <c r="E13" s="459" t="s">
        <v>59</v>
      </c>
      <c r="F13" s="450"/>
      <c r="I13" s="462">
        <v>0.10781124580725182</v>
      </c>
      <c r="J13" s="451"/>
      <c r="K13" s="453" t="s">
        <v>60</v>
      </c>
      <c r="L13" s="451"/>
      <c r="M13" s="451"/>
      <c r="N13" s="451"/>
      <c r="O13" s="449"/>
      <c r="P13" s="449"/>
    </row>
    <row r="14" spans="1:16" ht="13.5" thickBot="1">
      <c r="C14" s="459" t="s">
        <v>61</v>
      </c>
      <c r="D14" s="38" t="s">
        <v>62</v>
      </c>
      <c r="E14" s="449" t="s">
        <v>63</v>
      </c>
      <c r="F14" s="450"/>
      <c r="I14" s="463">
        <f>IF(D10=0,0,D10/D13)</f>
        <v>901.49023809523806</v>
      </c>
      <c r="J14" s="453"/>
      <c r="K14" s="453"/>
      <c r="L14" s="453"/>
      <c r="M14" s="453"/>
      <c r="N14" s="453"/>
      <c r="O14" s="449"/>
      <c r="P14" s="449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449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449"/>
    </row>
    <row r="17" spans="2:16" ht="13.5" thickBot="1">
      <c r="B17" s="7"/>
      <c r="C17" s="464">
        <f>IF(D11= "","-",D11)</f>
        <v>2022</v>
      </c>
      <c r="D17" s="439">
        <v>0</v>
      </c>
      <c r="E17" s="440">
        <v>0</v>
      </c>
      <c r="F17" s="441">
        <v>37862.589999999997</v>
      </c>
      <c r="G17" s="440">
        <v>2155.8294389034481</v>
      </c>
      <c r="H17" s="442">
        <v>2155.8294389034481</v>
      </c>
      <c r="I17" s="468">
        <f>H17-G17</f>
        <v>0</v>
      </c>
      <c r="J17" s="468"/>
      <c r="K17" s="117">
        <f>+G17</f>
        <v>2155.8294389034481</v>
      </c>
      <c r="L17" s="469">
        <f t="shared" ref="L17:L72" si="0">IF(K17&lt;&gt;0,+G17-K17,0)</f>
        <v>0</v>
      </c>
      <c r="M17" s="117">
        <f>+H17</f>
        <v>2155.8294389034481</v>
      </c>
      <c r="N17" s="469">
        <f t="shared" ref="N17:N72" si="1">IF(M17&lt;&gt;0,+H17-M17,0)</f>
        <v>0</v>
      </c>
      <c r="O17" s="446">
        <f t="shared" ref="O17:O72" si="2">+N17-L17</f>
        <v>0</v>
      </c>
      <c r="P17" s="449"/>
    </row>
    <row r="18" spans="2:16" ht="13.5" thickBot="1">
      <c r="B18" s="7" t="str">
        <f>IF(D18=F17,"","IU")</f>
        <v/>
      </c>
      <c r="C18" s="464">
        <f>IF(D11="","-",+C17+1)</f>
        <v>2023</v>
      </c>
      <c r="D18" s="439">
        <v>37862.589999999997</v>
      </c>
      <c r="E18" s="517">
        <v>1023.3132432432432</v>
      </c>
      <c r="F18" s="439">
        <v>36839.27675675675</v>
      </c>
      <c r="G18" s="517">
        <v>5276.7064605392352</v>
      </c>
      <c r="H18" s="442">
        <v>5276.7064605392352</v>
      </c>
      <c r="I18" s="468">
        <f>H18-G18</f>
        <v>0</v>
      </c>
      <c r="J18" s="468"/>
      <c r="K18" s="117">
        <f t="shared" ref="K18:K19" si="3">+G18</f>
        <v>5276.7064605392352</v>
      </c>
      <c r="L18" s="469">
        <f t="shared" ref="L18:L19" si="4">IF(K18&lt;&gt;0,+G18-K18,0)</f>
        <v>0</v>
      </c>
      <c r="M18" s="117">
        <f t="shared" ref="M18:M19" si="5">+H18</f>
        <v>5276.7064605392352</v>
      </c>
      <c r="N18" s="469">
        <f t="shared" ref="N18:N19" si="6">IF(M18&lt;&gt;0,+H18-M18,0)</f>
        <v>0</v>
      </c>
      <c r="O18" s="446">
        <f t="shared" ref="O18:O19" si="7">+N18-L18</f>
        <v>0</v>
      </c>
      <c r="P18" s="449"/>
    </row>
    <row r="19" spans="2:16" ht="13.5" thickBot="1">
      <c r="B19" s="7" t="str">
        <f>IF(D19=F18,"","IU")</f>
        <v/>
      </c>
      <c r="C19" s="464">
        <f>IF(D11="","-",+C18+1)</f>
        <v>2024</v>
      </c>
      <c r="D19" s="439">
        <v>36839.27675675675</v>
      </c>
      <c r="E19" s="517">
        <v>1023.3132432432432</v>
      </c>
      <c r="F19" s="441">
        <v>35815.963513513503</v>
      </c>
      <c r="G19" s="517">
        <v>5160.1751395174269</v>
      </c>
      <c r="H19" s="442">
        <v>5160.1751395174269</v>
      </c>
      <c r="I19" s="468">
        <f t="shared" ref="I19:I71" si="8">H19-G19</f>
        <v>0</v>
      </c>
      <c r="J19" s="468"/>
      <c r="K19" s="117">
        <f t="shared" si="3"/>
        <v>5160.1751395174269</v>
      </c>
      <c r="L19" s="469">
        <f t="shared" si="4"/>
        <v>0</v>
      </c>
      <c r="M19" s="117">
        <f t="shared" si="5"/>
        <v>5160.1751395174269</v>
      </c>
      <c r="N19" s="469">
        <f t="shared" si="6"/>
        <v>0</v>
      </c>
      <c r="O19" s="446">
        <f t="shared" si="7"/>
        <v>0</v>
      </c>
      <c r="P19" s="449"/>
    </row>
    <row r="20" spans="2:16">
      <c r="B20" s="7" t="str">
        <f t="shared" ref="B20:B72" si="9">IF(D20=F19,"","IU")</f>
        <v/>
      </c>
      <c r="C20" s="464">
        <f>IF(D11="","-",+C19+1)</f>
        <v>2025</v>
      </c>
      <c r="D20" s="439">
        <v>35815.963513513503</v>
      </c>
      <c r="E20" s="517">
        <v>996.38394736842099</v>
      </c>
      <c r="F20" s="441">
        <v>34819.579566145083</v>
      </c>
      <c r="G20" s="517">
        <v>5008.7121545581331</v>
      </c>
      <c r="H20" s="442">
        <v>5008.7121545581331</v>
      </c>
      <c r="I20" s="468">
        <f t="shared" si="8"/>
        <v>0</v>
      </c>
      <c r="J20" s="468"/>
      <c r="K20" s="117">
        <f t="shared" ref="K20" si="10">+G20</f>
        <v>5008.7121545581331</v>
      </c>
      <c r="L20" s="469">
        <f t="shared" ref="L20" si="11">IF(K20&lt;&gt;0,+G20-K20,0)</f>
        <v>0</v>
      </c>
      <c r="M20" s="117">
        <f t="shared" ref="M20" si="12">+H20</f>
        <v>5008.7121545581331</v>
      </c>
      <c r="N20" s="469">
        <f t="shared" ref="N20" si="13">IF(M20&lt;&gt;0,+H20-M20,0)</f>
        <v>0</v>
      </c>
      <c r="O20" s="446">
        <f t="shared" ref="O20" si="14">+N20-L20</f>
        <v>0</v>
      </c>
      <c r="P20" s="449"/>
    </row>
    <row r="21" spans="2:16">
      <c r="B21" s="7" t="str">
        <f t="shared" si="9"/>
        <v/>
      </c>
      <c r="C21" s="464">
        <f>IF(D11="","-",+C20+1)</f>
        <v>2026</v>
      </c>
      <c r="D21" s="466">
        <f>IF(F20+SUM(E$17:E20)=D$10,F20,D$10-SUM(E$17:E20))</f>
        <v>34819.579566145083</v>
      </c>
      <c r="E21" s="56">
        <f t="shared" ref="E21:E71" si="15">IF(+I$14&lt;F20,I$14,D21)</f>
        <v>901.49023809523806</v>
      </c>
      <c r="F21" s="466">
        <f t="shared" ref="F21:F71" si="16">+D21-E21</f>
        <v>33918.089328049842</v>
      </c>
      <c r="G21" s="470">
        <f t="shared" ref="G21:G71" si="17">(D21+F21)/2*I$12+E21</f>
        <v>4606.8370967800065</v>
      </c>
      <c r="H21" s="467">
        <f t="shared" ref="H21:H71" si="18">+(D21+F21)/2*I$13+E21</f>
        <v>4606.8370967800065</v>
      </c>
      <c r="I21" s="468">
        <f t="shared" si="8"/>
        <v>0</v>
      </c>
      <c r="J21" s="468"/>
      <c r="K21" s="115"/>
      <c r="L21" s="446">
        <f t="shared" si="0"/>
        <v>0</v>
      </c>
      <c r="M21" s="115"/>
      <c r="N21" s="446">
        <f t="shared" si="1"/>
        <v>0</v>
      </c>
      <c r="O21" s="446">
        <f t="shared" si="2"/>
        <v>0</v>
      </c>
      <c r="P21" s="449"/>
    </row>
    <row r="22" spans="2:16">
      <c r="B22" s="7" t="str">
        <f t="shared" si="9"/>
        <v/>
      </c>
      <c r="C22" s="464">
        <f>IF(D11="","-",+C21+1)</f>
        <v>2027</v>
      </c>
      <c r="D22" s="466">
        <f>IF(F21+SUM(E$17:E21)=D$10,F21,D$10-SUM(E$17:E21))</f>
        <v>33918.089328049842</v>
      </c>
      <c r="E22" s="56">
        <f t="shared" si="15"/>
        <v>901.49023809523806</v>
      </c>
      <c r="F22" s="466">
        <f t="shared" si="16"/>
        <v>33016.599089954601</v>
      </c>
      <c r="G22" s="470">
        <f t="shared" si="17"/>
        <v>4509.6463111278827</v>
      </c>
      <c r="H22" s="467">
        <f t="shared" si="18"/>
        <v>4509.6463111278827</v>
      </c>
      <c r="I22" s="468">
        <f t="shared" si="8"/>
        <v>0</v>
      </c>
      <c r="J22" s="468"/>
      <c r="K22" s="115"/>
      <c r="L22" s="446">
        <f t="shared" si="0"/>
        <v>0</v>
      </c>
      <c r="M22" s="115"/>
      <c r="N22" s="446">
        <f t="shared" si="1"/>
        <v>0</v>
      </c>
      <c r="O22" s="446">
        <f t="shared" si="2"/>
        <v>0</v>
      </c>
      <c r="P22" s="449"/>
    </row>
    <row r="23" spans="2:16">
      <c r="B23" s="7" t="str">
        <f t="shared" si="9"/>
        <v/>
      </c>
      <c r="C23" s="464">
        <f>IF(D11="","-",+C22+1)</f>
        <v>2028</v>
      </c>
      <c r="D23" s="466">
        <f>IF(F22+SUM(E$17:E22)=D$10,F22,D$10-SUM(E$17:E22))</f>
        <v>33016.599089954601</v>
      </c>
      <c r="E23" s="56">
        <f t="shared" si="15"/>
        <v>901.49023809523806</v>
      </c>
      <c r="F23" s="466">
        <f t="shared" si="16"/>
        <v>32115.108851859364</v>
      </c>
      <c r="G23" s="470">
        <f t="shared" si="17"/>
        <v>4412.4555254757579</v>
      </c>
      <c r="H23" s="467">
        <f t="shared" si="18"/>
        <v>4412.4555254757579</v>
      </c>
      <c r="I23" s="468">
        <f t="shared" si="8"/>
        <v>0</v>
      </c>
      <c r="J23" s="468"/>
      <c r="K23" s="115"/>
      <c r="L23" s="446">
        <f t="shared" si="0"/>
        <v>0</v>
      </c>
      <c r="M23" s="115"/>
      <c r="N23" s="446">
        <f t="shared" si="1"/>
        <v>0</v>
      </c>
      <c r="O23" s="446">
        <f t="shared" si="2"/>
        <v>0</v>
      </c>
      <c r="P23" s="449"/>
    </row>
    <row r="24" spans="2:16">
      <c r="B24" s="7" t="str">
        <f t="shared" si="9"/>
        <v/>
      </c>
      <c r="C24" s="464">
        <f>IF(D11="","-",+C23+1)</f>
        <v>2029</v>
      </c>
      <c r="D24" s="466">
        <f>IF(F23+SUM(E$17:E23)=D$10,F23,D$10-SUM(E$17:E23))</f>
        <v>32115.108851859364</v>
      </c>
      <c r="E24" s="56">
        <f t="shared" si="15"/>
        <v>901.49023809523806</v>
      </c>
      <c r="F24" s="466">
        <f t="shared" si="16"/>
        <v>31213.618613764127</v>
      </c>
      <c r="G24" s="470">
        <f t="shared" si="17"/>
        <v>4315.264739823635</v>
      </c>
      <c r="H24" s="467">
        <f t="shared" si="18"/>
        <v>4315.264739823635</v>
      </c>
      <c r="I24" s="468">
        <f t="shared" si="8"/>
        <v>0</v>
      </c>
      <c r="J24" s="468"/>
      <c r="K24" s="115"/>
      <c r="L24" s="446">
        <f t="shared" si="0"/>
        <v>0</v>
      </c>
      <c r="M24" s="115"/>
      <c r="N24" s="446">
        <f t="shared" si="1"/>
        <v>0</v>
      </c>
      <c r="O24" s="446">
        <f t="shared" si="2"/>
        <v>0</v>
      </c>
      <c r="P24" s="449"/>
    </row>
    <row r="25" spans="2:16">
      <c r="B25" s="7" t="str">
        <f t="shared" si="9"/>
        <v/>
      </c>
      <c r="C25" s="464">
        <f>IF(D11="","-",+C24+1)</f>
        <v>2030</v>
      </c>
      <c r="D25" s="466">
        <f>IF(F24+SUM(E$17:E24)=D$10,F24,D$10-SUM(E$17:E24))</f>
        <v>31213.618613764127</v>
      </c>
      <c r="E25" s="56">
        <f t="shared" si="15"/>
        <v>901.49023809523806</v>
      </c>
      <c r="F25" s="466">
        <f t="shared" si="16"/>
        <v>30312.12837566889</v>
      </c>
      <c r="G25" s="470">
        <f t="shared" si="17"/>
        <v>4218.0739541715111</v>
      </c>
      <c r="H25" s="467">
        <f t="shared" si="18"/>
        <v>4218.0739541715111</v>
      </c>
      <c r="I25" s="468">
        <f t="shared" si="8"/>
        <v>0</v>
      </c>
      <c r="J25" s="468"/>
      <c r="K25" s="115"/>
      <c r="L25" s="446">
        <f t="shared" si="0"/>
        <v>0</v>
      </c>
      <c r="M25" s="115"/>
      <c r="N25" s="446">
        <f t="shared" si="1"/>
        <v>0</v>
      </c>
      <c r="O25" s="446">
        <f t="shared" si="2"/>
        <v>0</v>
      </c>
      <c r="P25" s="449"/>
    </row>
    <row r="26" spans="2:16">
      <c r="B26" s="7" t="str">
        <f t="shared" si="9"/>
        <v/>
      </c>
      <c r="C26" s="464">
        <f>IF(D11="","-",+C25+1)</f>
        <v>2031</v>
      </c>
      <c r="D26" s="466">
        <f>IF(F25+SUM(E$17:E25)=D$10,F25,D$10-SUM(E$17:E25))</f>
        <v>30312.12837566889</v>
      </c>
      <c r="E26" s="56">
        <f t="shared" si="15"/>
        <v>901.49023809523806</v>
      </c>
      <c r="F26" s="466">
        <f t="shared" si="16"/>
        <v>29410.638137573653</v>
      </c>
      <c r="G26" s="470">
        <f t="shared" si="17"/>
        <v>4120.8831685193882</v>
      </c>
      <c r="H26" s="467">
        <f t="shared" si="18"/>
        <v>4120.8831685193882</v>
      </c>
      <c r="I26" s="468">
        <f t="shared" si="8"/>
        <v>0</v>
      </c>
      <c r="J26" s="468"/>
      <c r="K26" s="115"/>
      <c r="L26" s="446">
        <f t="shared" si="0"/>
        <v>0</v>
      </c>
      <c r="M26" s="115"/>
      <c r="N26" s="446">
        <f t="shared" si="1"/>
        <v>0</v>
      </c>
      <c r="O26" s="446">
        <f t="shared" si="2"/>
        <v>0</v>
      </c>
      <c r="P26" s="449"/>
    </row>
    <row r="27" spans="2:16">
      <c r="B27" s="7" t="str">
        <f t="shared" si="9"/>
        <v/>
      </c>
      <c r="C27" s="464">
        <f>IF(D11="","-",+C26+1)</f>
        <v>2032</v>
      </c>
      <c r="D27" s="466">
        <f>IF(F26+SUM(E$17:E26)=D$10,F26,D$10-SUM(E$17:E26))</f>
        <v>29410.638137573653</v>
      </c>
      <c r="E27" s="56">
        <f t="shared" si="15"/>
        <v>901.49023809523806</v>
      </c>
      <c r="F27" s="466">
        <f t="shared" si="16"/>
        <v>28509.147899478416</v>
      </c>
      <c r="G27" s="470">
        <f t="shared" si="17"/>
        <v>4023.6923828672639</v>
      </c>
      <c r="H27" s="467">
        <f t="shared" si="18"/>
        <v>4023.6923828672639</v>
      </c>
      <c r="I27" s="468">
        <f t="shared" si="8"/>
        <v>0</v>
      </c>
      <c r="J27" s="468"/>
      <c r="K27" s="115"/>
      <c r="L27" s="446">
        <f t="shared" si="0"/>
        <v>0</v>
      </c>
      <c r="M27" s="115"/>
      <c r="N27" s="446">
        <f t="shared" si="1"/>
        <v>0</v>
      </c>
      <c r="O27" s="446">
        <f t="shared" si="2"/>
        <v>0</v>
      </c>
      <c r="P27" s="449"/>
    </row>
    <row r="28" spans="2:16">
      <c r="B28" s="7" t="str">
        <f t="shared" si="9"/>
        <v/>
      </c>
      <c r="C28" s="464">
        <f>IF(D11="","-",+C27+1)</f>
        <v>2033</v>
      </c>
      <c r="D28" s="466">
        <f>IF(F27+SUM(E$17:E27)=D$10,F27,D$10-SUM(E$17:E27))</f>
        <v>28509.147899478416</v>
      </c>
      <c r="E28" s="56">
        <f t="shared" si="15"/>
        <v>901.49023809523806</v>
      </c>
      <c r="F28" s="466">
        <f t="shared" si="16"/>
        <v>27607.657661383178</v>
      </c>
      <c r="G28" s="470">
        <f t="shared" si="17"/>
        <v>3926.5015972151409</v>
      </c>
      <c r="H28" s="467">
        <f t="shared" si="18"/>
        <v>3926.5015972151409</v>
      </c>
      <c r="I28" s="468">
        <f t="shared" si="8"/>
        <v>0</v>
      </c>
      <c r="J28" s="468"/>
      <c r="K28" s="115"/>
      <c r="L28" s="446">
        <f t="shared" si="0"/>
        <v>0</v>
      </c>
      <c r="M28" s="115"/>
      <c r="N28" s="446">
        <f t="shared" si="1"/>
        <v>0</v>
      </c>
      <c r="O28" s="446">
        <f t="shared" si="2"/>
        <v>0</v>
      </c>
      <c r="P28" s="449"/>
    </row>
    <row r="29" spans="2:16">
      <c r="B29" s="7" t="str">
        <f t="shared" si="9"/>
        <v/>
      </c>
      <c r="C29" s="464">
        <f>IF(D11="","-",+C28+1)</f>
        <v>2034</v>
      </c>
      <c r="D29" s="466">
        <f>IF(F28+SUM(E$17:E28)=D$10,F28,D$10-SUM(E$17:E28))</f>
        <v>27607.657661383178</v>
      </c>
      <c r="E29" s="56">
        <f t="shared" si="15"/>
        <v>901.49023809523806</v>
      </c>
      <c r="F29" s="466">
        <f t="shared" si="16"/>
        <v>26706.167423287941</v>
      </c>
      <c r="G29" s="470">
        <f t="shared" si="17"/>
        <v>3829.3108115630171</v>
      </c>
      <c r="H29" s="467">
        <f t="shared" si="18"/>
        <v>3829.3108115630171</v>
      </c>
      <c r="I29" s="468">
        <f t="shared" si="8"/>
        <v>0</v>
      </c>
      <c r="J29" s="468"/>
      <c r="K29" s="115"/>
      <c r="L29" s="446">
        <f t="shared" si="0"/>
        <v>0</v>
      </c>
      <c r="M29" s="115"/>
      <c r="N29" s="446">
        <f t="shared" si="1"/>
        <v>0</v>
      </c>
      <c r="O29" s="446">
        <f t="shared" si="2"/>
        <v>0</v>
      </c>
      <c r="P29" s="449"/>
    </row>
    <row r="30" spans="2:16">
      <c r="B30" s="7" t="str">
        <f t="shared" si="9"/>
        <v/>
      </c>
      <c r="C30" s="464">
        <f>IF(D11="","-",+C29+1)</f>
        <v>2035</v>
      </c>
      <c r="D30" s="466">
        <f>IF(F29+SUM(E$17:E29)=D$10,F29,D$10-SUM(E$17:E29))</f>
        <v>26706.167423287941</v>
      </c>
      <c r="E30" s="56">
        <f t="shared" si="15"/>
        <v>901.49023809523806</v>
      </c>
      <c r="F30" s="466">
        <f t="shared" si="16"/>
        <v>25804.677185192704</v>
      </c>
      <c r="G30" s="470">
        <f t="shared" si="17"/>
        <v>3732.1200259108937</v>
      </c>
      <c r="H30" s="467">
        <f t="shared" si="18"/>
        <v>3732.1200259108937</v>
      </c>
      <c r="I30" s="468">
        <f t="shared" si="8"/>
        <v>0</v>
      </c>
      <c r="J30" s="468"/>
      <c r="K30" s="115"/>
      <c r="L30" s="446">
        <f t="shared" si="0"/>
        <v>0</v>
      </c>
      <c r="M30" s="115"/>
      <c r="N30" s="446">
        <f t="shared" si="1"/>
        <v>0</v>
      </c>
      <c r="O30" s="446">
        <f t="shared" si="2"/>
        <v>0</v>
      </c>
      <c r="P30" s="449"/>
    </row>
    <row r="31" spans="2:16">
      <c r="B31" s="7" t="str">
        <f t="shared" si="9"/>
        <v/>
      </c>
      <c r="C31" s="464">
        <f>IF(D11="","-",+C30+1)</f>
        <v>2036</v>
      </c>
      <c r="D31" s="466">
        <f>IF(F30+SUM(E$17:E30)=D$10,F30,D$10-SUM(E$17:E30))</f>
        <v>25804.677185192704</v>
      </c>
      <c r="E31" s="56">
        <f t="shared" si="15"/>
        <v>901.49023809523806</v>
      </c>
      <c r="F31" s="466">
        <f t="shared" si="16"/>
        <v>24903.186947097467</v>
      </c>
      <c r="G31" s="470">
        <f t="shared" si="17"/>
        <v>3634.9292402587698</v>
      </c>
      <c r="H31" s="467">
        <f t="shared" si="18"/>
        <v>3634.9292402587698</v>
      </c>
      <c r="I31" s="468">
        <f t="shared" si="8"/>
        <v>0</v>
      </c>
      <c r="J31" s="468"/>
      <c r="K31" s="115"/>
      <c r="L31" s="446">
        <f t="shared" si="0"/>
        <v>0</v>
      </c>
      <c r="M31" s="115"/>
      <c r="N31" s="446">
        <f t="shared" si="1"/>
        <v>0</v>
      </c>
      <c r="O31" s="446">
        <f t="shared" si="2"/>
        <v>0</v>
      </c>
      <c r="P31" s="449"/>
    </row>
    <row r="32" spans="2:16">
      <c r="B32" s="7" t="str">
        <f t="shared" si="9"/>
        <v/>
      </c>
      <c r="C32" s="464">
        <f>IF(D11="","-",+C31+1)</f>
        <v>2037</v>
      </c>
      <c r="D32" s="466">
        <f>IF(F31+SUM(E$17:E31)=D$10,F31,D$10-SUM(E$17:E31))</f>
        <v>24903.186947097467</v>
      </c>
      <c r="E32" s="56">
        <f t="shared" si="15"/>
        <v>901.49023809523806</v>
      </c>
      <c r="F32" s="466">
        <f t="shared" si="16"/>
        <v>24001.69670900223</v>
      </c>
      <c r="G32" s="470">
        <f t="shared" si="17"/>
        <v>3537.7384546066464</v>
      </c>
      <c r="H32" s="467">
        <f t="shared" si="18"/>
        <v>3537.7384546066464</v>
      </c>
      <c r="I32" s="468">
        <f t="shared" si="8"/>
        <v>0</v>
      </c>
      <c r="J32" s="468"/>
      <c r="K32" s="115"/>
      <c r="L32" s="446">
        <f t="shared" si="0"/>
        <v>0</v>
      </c>
      <c r="M32" s="115"/>
      <c r="N32" s="446">
        <f t="shared" si="1"/>
        <v>0</v>
      </c>
      <c r="O32" s="446">
        <f t="shared" si="2"/>
        <v>0</v>
      </c>
      <c r="P32" s="449"/>
    </row>
    <row r="33" spans="2:16">
      <c r="B33" s="7" t="str">
        <f t="shared" si="9"/>
        <v/>
      </c>
      <c r="C33" s="464">
        <f>IF(D11="","-",+C32+1)</f>
        <v>2038</v>
      </c>
      <c r="D33" s="466">
        <f>IF(F32+SUM(E$17:E32)=D$10,F32,D$10-SUM(E$17:E32))</f>
        <v>24001.69670900223</v>
      </c>
      <c r="E33" s="56">
        <f t="shared" si="15"/>
        <v>901.49023809523806</v>
      </c>
      <c r="F33" s="466">
        <f t="shared" si="16"/>
        <v>23100.206470906993</v>
      </c>
      <c r="G33" s="470">
        <f t="shared" si="17"/>
        <v>3440.5476689545226</v>
      </c>
      <c r="H33" s="467">
        <f t="shared" si="18"/>
        <v>3440.5476689545226</v>
      </c>
      <c r="I33" s="468">
        <f t="shared" si="8"/>
        <v>0</v>
      </c>
      <c r="J33" s="468"/>
      <c r="K33" s="115"/>
      <c r="L33" s="446">
        <f t="shared" si="0"/>
        <v>0</v>
      </c>
      <c r="M33" s="115"/>
      <c r="N33" s="446">
        <f t="shared" si="1"/>
        <v>0</v>
      </c>
      <c r="O33" s="446">
        <f t="shared" si="2"/>
        <v>0</v>
      </c>
      <c r="P33" s="449"/>
    </row>
    <row r="34" spans="2:16">
      <c r="B34" s="7" t="str">
        <f t="shared" si="9"/>
        <v/>
      </c>
      <c r="C34" s="464">
        <f>IF(D11="","-",+C33+1)</f>
        <v>2039</v>
      </c>
      <c r="D34" s="466">
        <f>IF(F33+SUM(E$17:E33)=D$10,F33,D$10-SUM(E$17:E33))</f>
        <v>23100.206470906993</v>
      </c>
      <c r="E34" s="56">
        <f t="shared" si="15"/>
        <v>901.49023809523806</v>
      </c>
      <c r="F34" s="466">
        <f t="shared" si="16"/>
        <v>22198.716232811756</v>
      </c>
      <c r="G34" s="470">
        <f t="shared" si="17"/>
        <v>3343.3568833023992</v>
      </c>
      <c r="H34" s="467">
        <f t="shared" si="18"/>
        <v>3343.3568833023992</v>
      </c>
      <c r="I34" s="468">
        <f t="shared" si="8"/>
        <v>0</v>
      </c>
      <c r="J34" s="468"/>
      <c r="K34" s="115"/>
      <c r="L34" s="446">
        <f t="shared" si="0"/>
        <v>0</v>
      </c>
      <c r="M34" s="115"/>
      <c r="N34" s="446">
        <f t="shared" si="1"/>
        <v>0</v>
      </c>
      <c r="O34" s="446">
        <f t="shared" si="2"/>
        <v>0</v>
      </c>
      <c r="P34" s="449"/>
    </row>
    <row r="35" spans="2:16">
      <c r="B35" s="7" t="str">
        <f t="shared" si="9"/>
        <v/>
      </c>
      <c r="C35" s="464">
        <f>IF(D11="","-",+C34+1)</f>
        <v>2040</v>
      </c>
      <c r="D35" s="466">
        <f>IF(F34+SUM(E$17:E34)=D$10,F34,D$10-SUM(E$17:E34))</f>
        <v>22198.716232811756</v>
      </c>
      <c r="E35" s="56">
        <f t="shared" si="15"/>
        <v>901.49023809523806</v>
      </c>
      <c r="F35" s="466">
        <f t="shared" si="16"/>
        <v>21297.225994716518</v>
      </c>
      <c r="G35" s="470">
        <f t="shared" si="17"/>
        <v>3246.1660976502753</v>
      </c>
      <c r="H35" s="467">
        <f t="shared" si="18"/>
        <v>3246.1660976502753</v>
      </c>
      <c r="I35" s="468">
        <f t="shared" si="8"/>
        <v>0</v>
      </c>
      <c r="J35" s="468"/>
      <c r="K35" s="115"/>
      <c r="L35" s="446">
        <f t="shared" si="0"/>
        <v>0</v>
      </c>
      <c r="M35" s="115"/>
      <c r="N35" s="446">
        <f t="shared" si="1"/>
        <v>0</v>
      </c>
      <c r="O35" s="446">
        <f t="shared" si="2"/>
        <v>0</v>
      </c>
      <c r="P35" s="449"/>
    </row>
    <row r="36" spans="2:16">
      <c r="B36" s="7" t="str">
        <f t="shared" si="9"/>
        <v/>
      </c>
      <c r="C36" s="464">
        <f>IF(D11="","-",+C35+1)</f>
        <v>2041</v>
      </c>
      <c r="D36" s="466">
        <f>IF(F35+SUM(E$17:E35)=D$10,F35,D$10-SUM(E$17:E35))</f>
        <v>21297.225994716518</v>
      </c>
      <c r="E36" s="56">
        <f t="shared" si="15"/>
        <v>901.49023809523806</v>
      </c>
      <c r="F36" s="466">
        <f t="shared" si="16"/>
        <v>20395.735756621281</v>
      </c>
      <c r="G36" s="470">
        <f t="shared" si="17"/>
        <v>3148.9753119981524</v>
      </c>
      <c r="H36" s="467">
        <f t="shared" si="18"/>
        <v>3148.9753119981524</v>
      </c>
      <c r="I36" s="468">
        <f t="shared" si="8"/>
        <v>0</v>
      </c>
      <c r="J36" s="468"/>
      <c r="K36" s="115"/>
      <c r="L36" s="446">
        <f t="shared" si="0"/>
        <v>0</v>
      </c>
      <c r="M36" s="115"/>
      <c r="N36" s="446">
        <f t="shared" si="1"/>
        <v>0</v>
      </c>
      <c r="O36" s="446">
        <f t="shared" si="2"/>
        <v>0</v>
      </c>
      <c r="P36" s="449"/>
    </row>
    <row r="37" spans="2:16">
      <c r="B37" s="7" t="str">
        <f t="shared" si="9"/>
        <v/>
      </c>
      <c r="C37" s="464">
        <f>IF(D11="","-",+C36+1)</f>
        <v>2042</v>
      </c>
      <c r="D37" s="466">
        <f>IF(F36+SUM(E$17:E36)=D$10,F36,D$10-SUM(E$17:E36))</f>
        <v>20395.735756621281</v>
      </c>
      <c r="E37" s="56">
        <f t="shared" si="15"/>
        <v>901.49023809523806</v>
      </c>
      <c r="F37" s="466">
        <f t="shared" si="16"/>
        <v>19494.245518526044</v>
      </c>
      <c r="G37" s="470">
        <f t="shared" si="17"/>
        <v>3051.7845263460281</v>
      </c>
      <c r="H37" s="467">
        <f t="shared" si="18"/>
        <v>3051.7845263460281</v>
      </c>
      <c r="I37" s="468">
        <f t="shared" si="8"/>
        <v>0</v>
      </c>
      <c r="J37" s="468"/>
      <c r="K37" s="115"/>
      <c r="L37" s="446">
        <f t="shared" si="0"/>
        <v>0</v>
      </c>
      <c r="M37" s="115"/>
      <c r="N37" s="446">
        <f t="shared" si="1"/>
        <v>0</v>
      </c>
      <c r="O37" s="446">
        <f t="shared" si="2"/>
        <v>0</v>
      </c>
      <c r="P37" s="449"/>
    </row>
    <row r="38" spans="2:16">
      <c r="B38" s="7" t="str">
        <f t="shared" si="9"/>
        <v/>
      </c>
      <c r="C38" s="464">
        <f>IF(D11="","-",+C37+1)</f>
        <v>2043</v>
      </c>
      <c r="D38" s="466">
        <f>IF(F37+SUM(E$17:E37)=D$10,F37,D$10-SUM(E$17:E37))</f>
        <v>19494.245518526044</v>
      </c>
      <c r="E38" s="56">
        <f t="shared" si="15"/>
        <v>901.49023809523806</v>
      </c>
      <c r="F38" s="466">
        <f t="shared" si="16"/>
        <v>18592.755280430807</v>
      </c>
      <c r="G38" s="470">
        <f t="shared" si="17"/>
        <v>2954.5937406939051</v>
      </c>
      <c r="H38" s="467">
        <f t="shared" si="18"/>
        <v>2954.5937406939051</v>
      </c>
      <c r="I38" s="468">
        <f t="shared" si="8"/>
        <v>0</v>
      </c>
      <c r="J38" s="468"/>
      <c r="K38" s="115"/>
      <c r="L38" s="446">
        <f t="shared" si="0"/>
        <v>0</v>
      </c>
      <c r="M38" s="115"/>
      <c r="N38" s="446">
        <f t="shared" si="1"/>
        <v>0</v>
      </c>
      <c r="O38" s="446">
        <f t="shared" si="2"/>
        <v>0</v>
      </c>
      <c r="P38" s="449"/>
    </row>
    <row r="39" spans="2:16">
      <c r="B39" s="7" t="str">
        <f t="shared" si="9"/>
        <v/>
      </c>
      <c r="C39" s="464">
        <f>IF(D11="","-",+C38+1)</f>
        <v>2044</v>
      </c>
      <c r="D39" s="466">
        <f>IF(F38+SUM(E$17:E38)=D$10,F38,D$10-SUM(E$17:E38))</f>
        <v>18592.755280430807</v>
      </c>
      <c r="E39" s="56">
        <f t="shared" si="15"/>
        <v>901.49023809523806</v>
      </c>
      <c r="F39" s="466">
        <f t="shared" si="16"/>
        <v>17691.26504233557</v>
      </c>
      <c r="G39" s="470">
        <f t="shared" si="17"/>
        <v>2857.4029550417808</v>
      </c>
      <c r="H39" s="467">
        <f t="shared" si="18"/>
        <v>2857.4029550417808</v>
      </c>
      <c r="I39" s="468">
        <f t="shared" si="8"/>
        <v>0</v>
      </c>
      <c r="J39" s="468"/>
      <c r="K39" s="115"/>
      <c r="L39" s="446">
        <f t="shared" si="0"/>
        <v>0</v>
      </c>
      <c r="M39" s="115"/>
      <c r="N39" s="446">
        <f t="shared" si="1"/>
        <v>0</v>
      </c>
      <c r="O39" s="446">
        <f t="shared" si="2"/>
        <v>0</v>
      </c>
      <c r="P39" s="449"/>
    </row>
    <row r="40" spans="2:16">
      <c r="B40" s="7" t="str">
        <f t="shared" si="9"/>
        <v/>
      </c>
      <c r="C40" s="464">
        <f>IF(D11="","-",+C39+1)</f>
        <v>2045</v>
      </c>
      <c r="D40" s="466">
        <f>IF(F39+SUM(E$17:E39)=D$10,F39,D$10-SUM(E$17:E39))</f>
        <v>17691.26504233557</v>
      </c>
      <c r="E40" s="56">
        <f t="shared" si="15"/>
        <v>901.49023809523806</v>
      </c>
      <c r="F40" s="466">
        <f t="shared" si="16"/>
        <v>16789.774804240333</v>
      </c>
      <c r="G40" s="470">
        <f t="shared" si="17"/>
        <v>2760.2121693896579</v>
      </c>
      <c r="H40" s="467">
        <f t="shared" si="18"/>
        <v>2760.2121693896579</v>
      </c>
      <c r="I40" s="468">
        <f t="shared" si="8"/>
        <v>0</v>
      </c>
      <c r="J40" s="468"/>
      <c r="K40" s="115"/>
      <c r="L40" s="446">
        <f t="shared" si="0"/>
        <v>0</v>
      </c>
      <c r="M40" s="115"/>
      <c r="N40" s="446">
        <f t="shared" si="1"/>
        <v>0</v>
      </c>
      <c r="O40" s="446">
        <f t="shared" si="2"/>
        <v>0</v>
      </c>
      <c r="P40" s="449"/>
    </row>
    <row r="41" spans="2:16">
      <c r="B41" s="7" t="str">
        <f t="shared" si="9"/>
        <v/>
      </c>
      <c r="C41" s="464">
        <f>IF(D11="","-",+C40+1)</f>
        <v>2046</v>
      </c>
      <c r="D41" s="466">
        <f>IF(F40+SUM(E$17:E40)=D$10,F40,D$10-SUM(E$17:E40))</f>
        <v>16789.774804240333</v>
      </c>
      <c r="E41" s="56">
        <f t="shared" si="15"/>
        <v>901.49023809523806</v>
      </c>
      <c r="F41" s="466">
        <f t="shared" si="16"/>
        <v>15888.284566145096</v>
      </c>
      <c r="G41" s="470">
        <f t="shared" si="17"/>
        <v>2663.0213837375341</v>
      </c>
      <c r="H41" s="467">
        <f t="shared" si="18"/>
        <v>2663.0213837375341</v>
      </c>
      <c r="I41" s="468">
        <f t="shared" si="8"/>
        <v>0</v>
      </c>
      <c r="J41" s="468"/>
      <c r="K41" s="115"/>
      <c r="L41" s="446">
        <f t="shared" si="0"/>
        <v>0</v>
      </c>
      <c r="M41" s="115"/>
      <c r="N41" s="446">
        <f t="shared" si="1"/>
        <v>0</v>
      </c>
      <c r="O41" s="446">
        <f t="shared" si="2"/>
        <v>0</v>
      </c>
      <c r="P41" s="449"/>
    </row>
    <row r="42" spans="2:16">
      <c r="B42" s="7" t="str">
        <f t="shared" si="9"/>
        <v/>
      </c>
      <c r="C42" s="464">
        <f>IF(D11="","-",+C41+1)</f>
        <v>2047</v>
      </c>
      <c r="D42" s="466">
        <f>IF(F41+SUM(E$17:E41)=D$10,F41,D$10-SUM(E$17:E41))</f>
        <v>15888.284566145096</v>
      </c>
      <c r="E42" s="56">
        <f t="shared" si="15"/>
        <v>901.49023809523806</v>
      </c>
      <c r="F42" s="466">
        <f t="shared" si="16"/>
        <v>14986.794328049858</v>
      </c>
      <c r="G42" s="470">
        <f t="shared" si="17"/>
        <v>2565.8305980854102</v>
      </c>
      <c r="H42" s="467">
        <f t="shared" si="18"/>
        <v>2565.8305980854102</v>
      </c>
      <c r="I42" s="468">
        <f t="shared" si="8"/>
        <v>0</v>
      </c>
      <c r="J42" s="468"/>
      <c r="K42" s="115"/>
      <c r="L42" s="446">
        <f t="shared" si="0"/>
        <v>0</v>
      </c>
      <c r="M42" s="115"/>
      <c r="N42" s="446">
        <f t="shared" si="1"/>
        <v>0</v>
      </c>
      <c r="O42" s="446">
        <f t="shared" si="2"/>
        <v>0</v>
      </c>
      <c r="P42" s="449"/>
    </row>
    <row r="43" spans="2:16">
      <c r="B43" s="7" t="str">
        <f t="shared" si="9"/>
        <v/>
      </c>
      <c r="C43" s="464">
        <f>IF(D11="","-",+C42+1)</f>
        <v>2048</v>
      </c>
      <c r="D43" s="466">
        <f>IF(F42+SUM(E$17:E42)=D$10,F42,D$10-SUM(E$17:E42))</f>
        <v>14986.794328049858</v>
      </c>
      <c r="E43" s="56">
        <f t="shared" si="15"/>
        <v>901.49023809523806</v>
      </c>
      <c r="F43" s="466">
        <f t="shared" si="16"/>
        <v>14085.304089954621</v>
      </c>
      <c r="G43" s="470">
        <f t="shared" si="17"/>
        <v>2468.6398124332873</v>
      </c>
      <c r="H43" s="467">
        <f t="shared" si="18"/>
        <v>2468.6398124332873</v>
      </c>
      <c r="I43" s="468">
        <f t="shared" si="8"/>
        <v>0</v>
      </c>
      <c r="J43" s="468"/>
      <c r="K43" s="115"/>
      <c r="L43" s="446">
        <f t="shared" si="0"/>
        <v>0</v>
      </c>
      <c r="M43" s="115"/>
      <c r="N43" s="446">
        <f t="shared" si="1"/>
        <v>0</v>
      </c>
      <c r="O43" s="446">
        <f t="shared" si="2"/>
        <v>0</v>
      </c>
      <c r="P43" s="449"/>
    </row>
    <row r="44" spans="2:16">
      <c r="B44" s="7" t="str">
        <f t="shared" si="9"/>
        <v/>
      </c>
      <c r="C44" s="464">
        <f>IF(D11="","-",+C43+1)</f>
        <v>2049</v>
      </c>
      <c r="D44" s="466">
        <f>IF(F43+SUM(E$17:E43)=D$10,F43,D$10-SUM(E$17:E43))</f>
        <v>14085.304089954621</v>
      </c>
      <c r="E44" s="56">
        <f t="shared" si="15"/>
        <v>901.49023809523806</v>
      </c>
      <c r="F44" s="466">
        <f t="shared" si="16"/>
        <v>13183.813851859384</v>
      </c>
      <c r="G44" s="470">
        <f t="shared" si="17"/>
        <v>2371.4490267811634</v>
      </c>
      <c r="H44" s="467">
        <f t="shared" si="18"/>
        <v>2371.4490267811634</v>
      </c>
      <c r="I44" s="468">
        <f t="shared" si="8"/>
        <v>0</v>
      </c>
      <c r="J44" s="468"/>
      <c r="K44" s="115"/>
      <c r="L44" s="446">
        <f t="shared" si="0"/>
        <v>0</v>
      </c>
      <c r="M44" s="115"/>
      <c r="N44" s="446">
        <f t="shared" si="1"/>
        <v>0</v>
      </c>
      <c r="O44" s="446">
        <f t="shared" si="2"/>
        <v>0</v>
      </c>
      <c r="P44" s="449"/>
    </row>
    <row r="45" spans="2:16">
      <c r="B45" s="7" t="str">
        <f t="shared" si="9"/>
        <v/>
      </c>
      <c r="C45" s="464">
        <f>IF(D11="","-",+C44+1)</f>
        <v>2050</v>
      </c>
      <c r="D45" s="466">
        <f>IF(F44+SUM(E$17:E44)=D$10,F44,D$10-SUM(E$17:E44))</f>
        <v>13183.813851859384</v>
      </c>
      <c r="E45" s="56">
        <f t="shared" si="15"/>
        <v>901.49023809523806</v>
      </c>
      <c r="F45" s="466">
        <f t="shared" si="16"/>
        <v>12282.323613764147</v>
      </c>
      <c r="G45" s="470">
        <f t="shared" si="17"/>
        <v>2274.2582411290396</v>
      </c>
      <c r="H45" s="467">
        <f t="shared" si="18"/>
        <v>2274.2582411290396</v>
      </c>
      <c r="I45" s="468">
        <f t="shared" si="8"/>
        <v>0</v>
      </c>
      <c r="J45" s="468"/>
      <c r="K45" s="115"/>
      <c r="L45" s="446">
        <f t="shared" si="0"/>
        <v>0</v>
      </c>
      <c r="M45" s="115"/>
      <c r="N45" s="446">
        <f t="shared" si="1"/>
        <v>0</v>
      </c>
      <c r="O45" s="446">
        <f t="shared" si="2"/>
        <v>0</v>
      </c>
      <c r="P45" s="449"/>
    </row>
    <row r="46" spans="2:16">
      <c r="B46" s="7" t="str">
        <f t="shared" si="9"/>
        <v/>
      </c>
      <c r="C46" s="464">
        <f>IF(D11="","-",+C45+1)</f>
        <v>2051</v>
      </c>
      <c r="D46" s="466">
        <f>IF(F45+SUM(E$17:E45)=D$10,F45,D$10-SUM(E$17:E45))</f>
        <v>12282.323613764147</v>
      </c>
      <c r="E46" s="56">
        <f t="shared" si="15"/>
        <v>901.49023809523806</v>
      </c>
      <c r="F46" s="466">
        <f t="shared" si="16"/>
        <v>11380.83337566891</v>
      </c>
      <c r="G46" s="470">
        <f t="shared" si="17"/>
        <v>2177.0674554769162</v>
      </c>
      <c r="H46" s="467">
        <f t="shared" si="18"/>
        <v>2177.0674554769162</v>
      </c>
      <c r="I46" s="468">
        <f t="shared" si="8"/>
        <v>0</v>
      </c>
      <c r="J46" s="468"/>
      <c r="K46" s="115"/>
      <c r="L46" s="446">
        <f t="shared" si="0"/>
        <v>0</v>
      </c>
      <c r="M46" s="115"/>
      <c r="N46" s="446">
        <f t="shared" si="1"/>
        <v>0</v>
      </c>
      <c r="O46" s="446">
        <f t="shared" si="2"/>
        <v>0</v>
      </c>
      <c r="P46" s="449"/>
    </row>
    <row r="47" spans="2:16">
      <c r="B47" s="7" t="str">
        <f t="shared" si="9"/>
        <v/>
      </c>
      <c r="C47" s="464">
        <f>IF(D11="","-",+C46+1)</f>
        <v>2052</v>
      </c>
      <c r="D47" s="466">
        <f>IF(F46+SUM(E$17:E46)=D$10,F46,D$10-SUM(E$17:E46))</f>
        <v>11380.83337566891</v>
      </c>
      <c r="E47" s="56">
        <f t="shared" si="15"/>
        <v>901.49023809523806</v>
      </c>
      <c r="F47" s="466">
        <f t="shared" si="16"/>
        <v>10479.343137573673</v>
      </c>
      <c r="G47" s="470">
        <f t="shared" si="17"/>
        <v>2079.8766698247928</v>
      </c>
      <c r="H47" s="467">
        <f t="shared" si="18"/>
        <v>2079.8766698247928</v>
      </c>
      <c r="I47" s="468">
        <f t="shared" si="8"/>
        <v>0</v>
      </c>
      <c r="J47" s="468"/>
      <c r="K47" s="115"/>
      <c r="L47" s="446">
        <f t="shared" si="0"/>
        <v>0</v>
      </c>
      <c r="M47" s="115"/>
      <c r="N47" s="446">
        <f t="shared" si="1"/>
        <v>0</v>
      </c>
      <c r="O47" s="446">
        <f t="shared" si="2"/>
        <v>0</v>
      </c>
      <c r="P47" s="449"/>
    </row>
    <row r="48" spans="2:16">
      <c r="B48" s="7" t="str">
        <f t="shared" si="9"/>
        <v/>
      </c>
      <c r="C48" s="464">
        <f>IF(D11="","-",+C47+1)</f>
        <v>2053</v>
      </c>
      <c r="D48" s="466">
        <f>IF(F47+SUM(E$17:E47)=D$10,F47,D$10-SUM(E$17:E47))</f>
        <v>10479.343137573673</v>
      </c>
      <c r="E48" s="56">
        <f t="shared" si="15"/>
        <v>901.49023809523806</v>
      </c>
      <c r="F48" s="466">
        <f t="shared" si="16"/>
        <v>9577.8528994784356</v>
      </c>
      <c r="G48" s="470">
        <f t="shared" si="17"/>
        <v>1982.6858841726689</v>
      </c>
      <c r="H48" s="467">
        <f t="shared" si="18"/>
        <v>1982.6858841726689</v>
      </c>
      <c r="I48" s="468">
        <f t="shared" si="8"/>
        <v>0</v>
      </c>
      <c r="J48" s="468"/>
      <c r="K48" s="115"/>
      <c r="L48" s="446">
        <f t="shared" si="0"/>
        <v>0</v>
      </c>
      <c r="M48" s="115"/>
      <c r="N48" s="446">
        <f t="shared" si="1"/>
        <v>0</v>
      </c>
      <c r="O48" s="446">
        <f t="shared" si="2"/>
        <v>0</v>
      </c>
      <c r="P48" s="449"/>
    </row>
    <row r="49" spans="2:16">
      <c r="B49" s="7" t="str">
        <f t="shared" si="9"/>
        <v/>
      </c>
      <c r="C49" s="464">
        <f>IF(D11="","-",+C48+1)</f>
        <v>2054</v>
      </c>
      <c r="D49" s="466">
        <f>IF(F48+SUM(E$17:E48)=D$10,F48,D$10-SUM(E$17:E48))</f>
        <v>9577.8528994784356</v>
      </c>
      <c r="E49" s="56">
        <f t="shared" si="15"/>
        <v>901.49023809523806</v>
      </c>
      <c r="F49" s="466">
        <f t="shared" si="16"/>
        <v>8676.3626613831984</v>
      </c>
      <c r="G49" s="470">
        <f t="shared" si="17"/>
        <v>1885.4950985205455</v>
      </c>
      <c r="H49" s="467">
        <f t="shared" si="18"/>
        <v>1885.4950985205455</v>
      </c>
      <c r="I49" s="468">
        <f t="shared" si="8"/>
        <v>0</v>
      </c>
      <c r="J49" s="468"/>
      <c r="K49" s="115"/>
      <c r="L49" s="446">
        <f t="shared" si="0"/>
        <v>0</v>
      </c>
      <c r="M49" s="115"/>
      <c r="N49" s="446">
        <f t="shared" si="1"/>
        <v>0</v>
      </c>
      <c r="O49" s="446">
        <f t="shared" si="2"/>
        <v>0</v>
      </c>
      <c r="P49" s="449"/>
    </row>
    <row r="50" spans="2:16">
      <c r="B50" s="7" t="str">
        <f t="shared" si="9"/>
        <v/>
      </c>
      <c r="C50" s="464">
        <f>IF(D11="","-",+C49+1)</f>
        <v>2055</v>
      </c>
      <c r="D50" s="466">
        <f>IF(F49+SUM(E$17:E49)=D$10,F49,D$10-SUM(E$17:E49))</f>
        <v>8676.3626613831984</v>
      </c>
      <c r="E50" s="56">
        <f t="shared" si="15"/>
        <v>901.49023809523806</v>
      </c>
      <c r="F50" s="466">
        <f t="shared" si="16"/>
        <v>7774.8724232879604</v>
      </c>
      <c r="G50" s="470">
        <f t="shared" si="17"/>
        <v>1788.3043128684219</v>
      </c>
      <c r="H50" s="467">
        <f t="shared" si="18"/>
        <v>1788.3043128684219</v>
      </c>
      <c r="I50" s="468">
        <f t="shared" si="8"/>
        <v>0</v>
      </c>
      <c r="J50" s="468"/>
      <c r="K50" s="115"/>
      <c r="L50" s="446">
        <f t="shared" si="0"/>
        <v>0</v>
      </c>
      <c r="M50" s="115"/>
      <c r="N50" s="446">
        <f t="shared" si="1"/>
        <v>0</v>
      </c>
      <c r="O50" s="446">
        <f t="shared" si="2"/>
        <v>0</v>
      </c>
      <c r="P50" s="449"/>
    </row>
    <row r="51" spans="2:16">
      <c r="B51" s="7" t="str">
        <f t="shared" si="9"/>
        <v/>
      </c>
      <c r="C51" s="464">
        <f>IF(D11="","-",+C50+1)</f>
        <v>2056</v>
      </c>
      <c r="D51" s="466">
        <f>IF(F50+SUM(E$17:E50)=D$10,F50,D$10-SUM(E$17:E50))</f>
        <v>7774.8724232879604</v>
      </c>
      <c r="E51" s="56">
        <f t="shared" si="15"/>
        <v>901.49023809523806</v>
      </c>
      <c r="F51" s="466">
        <f t="shared" si="16"/>
        <v>6873.3821851927223</v>
      </c>
      <c r="G51" s="470">
        <f t="shared" si="17"/>
        <v>1691.1135272162981</v>
      </c>
      <c r="H51" s="467">
        <f t="shared" si="18"/>
        <v>1691.1135272162981</v>
      </c>
      <c r="I51" s="468">
        <f t="shared" si="8"/>
        <v>0</v>
      </c>
      <c r="J51" s="468"/>
      <c r="K51" s="115"/>
      <c r="L51" s="446">
        <f t="shared" si="0"/>
        <v>0</v>
      </c>
      <c r="M51" s="115"/>
      <c r="N51" s="446">
        <f t="shared" si="1"/>
        <v>0</v>
      </c>
      <c r="O51" s="446">
        <f t="shared" si="2"/>
        <v>0</v>
      </c>
      <c r="P51" s="449"/>
    </row>
    <row r="52" spans="2:16">
      <c r="B52" s="7" t="str">
        <f t="shared" si="9"/>
        <v/>
      </c>
      <c r="C52" s="464">
        <f>IF(D11="","-",+C51+1)</f>
        <v>2057</v>
      </c>
      <c r="D52" s="466">
        <f>IF(F51+SUM(E$17:E51)=D$10,F51,D$10-SUM(E$17:E51))</f>
        <v>6873.3821851927223</v>
      </c>
      <c r="E52" s="56">
        <f t="shared" si="15"/>
        <v>901.49023809523806</v>
      </c>
      <c r="F52" s="466">
        <f t="shared" si="16"/>
        <v>5971.8919470974843</v>
      </c>
      <c r="G52" s="470">
        <f t="shared" si="17"/>
        <v>1593.9227415641744</v>
      </c>
      <c r="H52" s="467">
        <f t="shared" si="18"/>
        <v>1593.9227415641744</v>
      </c>
      <c r="I52" s="468">
        <f t="shared" si="8"/>
        <v>0</v>
      </c>
      <c r="J52" s="468"/>
      <c r="K52" s="115"/>
      <c r="L52" s="446">
        <f t="shared" si="0"/>
        <v>0</v>
      </c>
      <c r="M52" s="115"/>
      <c r="N52" s="446">
        <f t="shared" si="1"/>
        <v>0</v>
      </c>
      <c r="O52" s="446">
        <f t="shared" si="2"/>
        <v>0</v>
      </c>
      <c r="P52" s="449"/>
    </row>
    <row r="53" spans="2:16">
      <c r="B53" s="7" t="str">
        <f t="shared" si="9"/>
        <v/>
      </c>
      <c r="C53" s="464">
        <f>IF(D11="","-",+C52+1)</f>
        <v>2058</v>
      </c>
      <c r="D53" s="466">
        <f>IF(F52+SUM(E$17:E52)=D$10,F52,D$10-SUM(E$17:E52))</f>
        <v>5971.8919470974843</v>
      </c>
      <c r="E53" s="56">
        <f t="shared" si="15"/>
        <v>901.49023809523806</v>
      </c>
      <c r="F53" s="466">
        <f t="shared" si="16"/>
        <v>5070.4017090022462</v>
      </c>
      <c r="G53" s="470">
        <f t="shared" si="17"/>
        <v>1496.7319559120506</v>
      </c>
      <c r="H53" s="467">
        <f t="shared" si="18"/>
        <v>1496.7319559120506</v>
      </c>
      <c r="I53" s="468">
        <f t="shared" si="8"/>
        <v>0</v>
      </c>
      <c r="J53" s="468"/>
      <c r="K53" s="115"/>
      <c r="L53" s="446">
        <f t="shared" si="0"/>
        <v>0</v>
      </c>
      <c r="M53" s="115"/>
      <c r="N53" s="446">
        <f t="shared" si="1"/>
        <v>0</v>
      </c>
      <c r="O53" s="446">
        <f t="shared" si="2"/>
        <v>0</v>
      </c>
      <c r="P53" s="449"/>
    </row>
    <row r="54" spans="2:16">
      <c r="B54" s="7" t="str">
        <f t="shared" si="9"/>
        <v/>
      </c>
      <c r="C54" s="464">
        <f>IF(D11="","-",+C53+1)</f>
        <v>2059</v>
      </c>
      <c r="D54" s="466">
        <f>IF(F53+SUM(E$17:E53)=D$10,F53,D$10-SUM(E$17:E53))</f>
        <v>5070.4017090022462</v>
      </c>
      <c r="E54" s="56">
        <f t="shared" si="15"/>
        <v>901.49023809523806</v>
      </c>
      <c r="F54" s="466">
        <f t="shared" si="16"/>
        <v>4168.9114709070082</v>
      </c>
      <c r="G54" s="470">
        <f t="shared" si="17"/>
        <v>1399.5411702599272</v>
      </c>
      <c r="H54" s="467">
        <f t="shared" si="18"/>
        <v>1399.5411702599272</v>
      </c>
      <c r="I54" s="468">
        <f t="shared" si="8"/>
        <v>0</v>
      </c>
      <c r="J54" s="468"/>
      <c r="K54" s="115"/>
      <c r="L54" s="446">
        <f t="shared" si="0"/>
        <v>0</v>
      </c>
      <c r="M54" s="115"/>
      <c r="N54" s="446">
        <f t="shared" si="1"/>
        <v>0</v>
      </c>
      <c r="O54" s="446">
        <f t="shared" si="2"/>
        <v>0</v>
      </c>
      <c r="P54" s="449"/>
    </row>
    <row r="55" spans="2:16">
      <c r="B55" s="7" t="str">
        <f t="shared" si="9"/>
        <v/>
      </c>
      <c r="C55" s="464">
        <f>IF(D11="","-",+C54+1)</f>
        <v>2060</v>
      </c>
      <c r="D55" s="466">
        <f>IF(F54+SUM(E$17:E54)=D$10,F54,D$10-SUM(E$17:E54))</f>
        <v>4168.9114709070082</v>
      </c>
      <c r="E55" s="56">
        <f t="shared" si="15"/>
        <v>901.49023809523806</v>
      </c>
      <c r="F55" s="466">
        <f t="shared" si="16"/>
        <v>3267.4212328117701</v>
      </c>
      <c r="G55" s="470">
        <f t="shared" si="17"/>
        <v>1302.3503846078033</v>
      </c>
      <c r="H55" s="467">
        <f t="shared" si="18"/>
        <v>1302.3503846078033</v>
      </c>
      <c r="I55" s="468">
        <f t="shared" si="8"/>
        <v>0</v>
      </c>
      <c r="J55" s="468"/>
      <c r="K55" s="115"/>
      <c r="L55" s="446">
        <f t="shared" si="0"/>
        <v>0</v>
      </c>
      <c r="M55" s="115"/>
      <c r="N55" s="446">
        <f t="shared" si="1"/>
        <v>0</v>
      </c>
      <c r="O55" s="446">
        <f t="shared" si="2"/>
        <v>0</v>
      </c>
      <c r="P55" s="449"/>
    </row>
    <row r="56" spans="2:16">
      <c r="B56" s="7" t="str">
        <f t="shared" si="9"/>
        <v/>
      </c>
      <c r="C56" s="464">
        <f>IF(D11="","-",+C55+1)</f>
        <v>2061</v>
      </c>
      <c r="D56" s="466">
        <f>IF(F55+SUM(E$17:E55)=D$10,F55,D$10-SUM(E$17:E55))</f>
        <v>3267.4212328117701</v>
      </c>
      <c r="E56" s="56">
        <f t="shared" si="15"/>
        <v>901.49023809523806</v>
      </c>
      <c r="F56" s="466">
        <f t="shared" si="16"/>
        <v>2365.930994716532</v>
      </c>
      <c r="G56" s="470">
        <f t="shared" si="17"/>
        <v>1205.1595989556797</v>
      </c>
      <c r="H56" s="467">
        <f t="shared" si="18"/>
        <v>1205.1595989556797</v>
      </c>
      <c r="I56" s="468">
        <f t="shared" si="8"/>
        <v>0</v>
      </c>
      <c r="J56" s="468"/>
      <c r="K56" s="115"/>
      <c r="L56" s="446">
        <f t="shared" si="0"/>
        <v>0</v>
      </c>
      <c r="M56" s="115"/>
      <c r="N56" s="446">
        <f t="shared" si="1"/>
        <v>0</v>
      </c>
      <c r="O56" s="446">
        <f t="shared" si="2"/>
        <v>0</v>
      </c>
      <c r="P56" s="449"/>
    </row>
    <row r="57" spans="2:16">
      <c r="B57" s="7" t="str">
        <f t="shared" si="9"/>
        <v/>
      </c>
      <c r="C57" s="464">
        <f>IF(D11="","-",+C56+1)</f>
        <v>2062</v>
      </c>
      <c r="D57" s="466">
        <f>IF(F56+SUM(E$17:E56)=D$10,F56,D$10-SUM(E$17:E56))</f>
        <v>2365.930994716532</v>
      </c>
      <c r="E57" s="56">
        <f t="shared" si="15"/>
        <v>901.49023809523806</v>
      </c>
      <c r="F57" s="466">
        <f t="shared" si="16"/>
        <v>1464.440756621294</v>
      </c>
      <c r="G57" s="470">
        <f t="shared" si="17"/>
        <v>1107.9688133035561</v>
      </c>
      <c r="H57" s="467">
        <f t="shared" si="18"/>
        <v>1107.9688133035561</v>
      </c>
      <c r="I57" s="468">
        <f t="shared" si="8"/>
        <v>0</v>
      </c>
      <c r="J57" s="468"/>
      <c r="K57" s="115"/>
      <c r="L57" s="446">
        <f t="shared" si="0"/>
        <v>0</v>
      </c>
      <c r="M57" s="115"/>
      <c r="N57" s="446">
        <f t="shared" si="1"/>
        <v>0</v>
      </c>
      <c r="O57" s="446">
        <f t="shared" si="2"/>
        <v>0</v>
      </c>
      <c r="P57" s="449"/>
    </row>
    <row r="58" spans="2:16">
      <c r="B58" s="7" t="str">
        <f t="shared" si="9"/>
        <v/>
      </c>
      <c r="C58" s="464">
        <f>IF(D11="","-",+C57+1)</f>
        <v>2063</v>
      </c>
      <c r="D58" s="466">
        <f>IF(F57+SUM(E$17:E57)=D$10,F57,D$10-SUM(E$17:E57))</f>
        <v>1464.440756621294</v>
      </c>
      <c r="E58" s="56">
        <f t="shared" si="15"/>
        <v>901.49023809523806</v>
      </c>
      <c r="F58" s="466">
        <f t="shared" si="16"/>
        <v>562.95051852605593</v>
      </c>
      <c r="G58" s="470">
        <f t="shared" si="17"/>
        <v>1010.7780276514324</v>
      </c>
      <c r="H58" s="467">
        <f t="shared" si="18"/>
        <v>1010.7780276514324</v>
      </c>
      <c r="I58" s="468">
        <f t="shared" si="8"/>
        <v>0</v>
      </c>
      <c r="J58" s="468"/>
      <c r="K58" s="115"/>
      <c r="L58" s="446">
        <f t="shared" si="0"/>
        <v>0</v>
      </c>
      <c r="M58" s="115"/>
      <c r="N58" s="446">
        <f t="shared" si="1"/>
        <v>0</v>
      </c>
      <c r="O58" s="446">
        <f t="shared" si="2"/>
        <v>0</v>
      </c>
      <c r="P58" s="449"/>
    </row>
    <row r="59" spans="2:16">
      <c r="B59" s="7" t="str">
        <f t="shared" si="9"/>
        <v/>
      </c>
      <c r="C59" s="464">
        <f>IF(D11="","-",+C58+1)</f>
        <v>2064</v>
      </c>
      <c r="D59" s="466">
        <f>IF(F58+SUM(E$17:E58)=D$10,F58,D$10-SUM(E$17:E58))</f>
        <v>562.95051852605593</v>
      </c>
      <c r="E59" s="56">
        <f t="shared" si="15"/>
        <v>562.95051852605593</v>
      </c>
      <c r="F59" s="466">
        <f t="shared" si="16"/>
        <v>0</v>
      </c>
      <c r="G59" s="470">
        <f t="shared" si="17"/>
        <v>593.29671689112217</v>
      </c>
      <c r="H59" s="467">
        <f t="shared" si="18"/>
        <v>593.29671689112217</v>
      </c>
      <c r="I59" s="468">
        <f t="shared" si="8"/>
        <v>0</v>
      </c>
      <c r="J59" s="468"/>
      <c r="K59" s="115"/>
      <c r="L59" s="446">
        <f t="shared" si="0"/>
        <v>0</v>
      </c>
      <c r="M59" s="115"/>
      <c r="N59" s="446">
        <f t="shared" si="1"/>
        <v>0</v>
      </c>
      <c r="O59" s="446">
        <f t="shared" si="2"/>
        <v>0</v>
      </c>
      <c r="P59" s="449"/>
    </row>
    <row r="60" spans="2:16">
      <c r="B60" s="7" t="str">
        <f t="shared" si="9"/>
        <v/>
      </c>
      <c r="C60" s="464">
        <f>IF(D11="","-",+C59+1)</f>
        <v>2065</v>
      </c>
      <c r="D60" s="466">
        <f>IF(F59+SUM(E$17:E59)=D$10,F59,D$10-SUM(E$17:E59))</f>
        <v>0</v>
      </c>
      <c r="E60" s="56">
        <f t="shared" si="15"/>
        <v>0</v>
      </c>
      <c r="F60" s="466">
        <f t="shared" si="16"/>
        <v>0</v>
      </c>
      <c r="G60" s="470">
        <f t="shared" si="17"/>
        <v>0</v>
      </c>
      <c r="H60" s="467">
        <f t="shared" si="18"/>
        <v>0</v>
      </c>
      <c r="I60" s="468">
        <f t="shared" si="8"/>
        <v>0</v>
      </c>
      <c r="J60" s="468"/>
      <c r="K60" s="115"/>
      <c r="L60" s="446">
        <f t="shared" si="0"/>
        <v>0</v>
      </c>
      <c r="M60" s="115"/>
      <c r="N60" s="446">
        <f t="shared" si="1"/>
        <v>0</v>
      </c>
      <c r="O60" s="446">
        <f t="shared" si="2"/>
        <v>0</v>
      </c>
      <c r="P60" s="449"/>
    </row>
    <row r="61" spans="2:16">
      <c r="B61" s="7" t="str">
        <f t="shared" si="9"/>
        <v/>
      </c>
      <c r="C61" s="464">
        <f>IF(D11="","-",+C60+1)</f>
        <v>2066</v>
      </c>
      <c r="D61" s="466">
        <f>IF(F60+SUM(E$17:E60)=D$10,F60,D$10-SUM(E$17:E60))</f>
        <v>0</v>
      </c>
      <c r="E61" s="56">
        <f t="shared" si="15"/>
        <v>0</v>
      </c>
      <c r="F61" s="466">
        <f t="shared" si="16"/>
        <v>0</v>
      </c>
      <c r="G61" s="470">
        <f t="shared" si="17"/>
        <v>0</v>
      </c>
      <c r="H61" s="467">
        <f t="shared" si="18"/>
        <v>0</v>
      </c>
      <c r="I61" s="468">
        <f t="shared" si="8"/>
        <v>0</v>
      </c>
      <c r="J61" s="468"/>
      <c r="K61" s="115"/>
      <c r="L61" s="446">
        <f t="shared" si="0"/>
        <v>0</v>
      </c>
      <c r="M61" s="115"/>
      <c r="N61" s="446">
        <f t="shared" si="1"/>
        <v>0</v>
      </c>
      <c r="O61" s="446">
        <f t="shared" si="2"/>
        <v>0</v>
      </c>
      <c r="P61" s="449"/>
    </row>
    <row r="62" spans="2:16">
      <c r="B62" s="7" t="str">
        <f t="shared" si="9"/>
        <v/>
      </c>
      <c r="C62" s="464">
        <f>IF(D11="","-",+C61+1)</f>
        <v>2067</v>
      </c>
      <c r="D62" s="466">
        <f>IF(F61+SUM(E$17:E61)=D$10,F61,D$10-SUM(E$17:E61))</f>
        <v>0</v>
      </c>
      <c r="E62" s="56">
        <f t="shared" si="15"/>
        <v>0</v>
      </c>
      <c r="F62" s="466">
        <f t="shared" si="16"/>
        <v>0</v>
      </c>
      <c r="G62" s="470">
        <f t="shared" si="17"/>
        <v>0</v>
      </c>
      <c r="H62" s="467">
        <f t="shared" si="18"/>
        <v>0</v>
      </c>
      <c r="I62" s="468">
        <f t="shared" si="8"/>
        <v>0</v>
      </c>
      <c r="J62" s="468"/>
      <c r="K62" s="115"/>
      <c r="L62" s="446">
        <f t="shared" si="0"/>
        <v>0</v>
      </c>
      <c r="M62" s="115"/>
      <c r="N62" s="446">
        <f t="shared" si="1"/>
        <v>0</v>
      </c>
      <c r="O62" s="446">
        <f t="shared" si="2"/>
        <v>0</v>
      </c>
      <c r="P62" s="449"/>
    </row>
    <row r="63" spans="2:16">
      <c r="B63" s="7" t="str">
        <f t="shared" si="9"/>
        <v/>
      </c>
      <c r="C63" s="464">
        <f>IF(D11="","-",+C62+1)</f>
        <v>2068</v>
      </c>
      <c r="D63" s="466">
        <f>IF(F62+SUM(E$17:E62)=D$10,F62,D$10-SUM(E$17:E62))</f>
        <v>0</v>
      </c>
      <c r="E63" s="56">
        <f t="shared" si="15"/>
        <v>0</v>
      </c>
      <c r="F63" s="466">
        <f t="shared" si="16"/>
        <v>0</v>
      </c>
      <c r="G63" s="470">
        <f t="shared" si="17"/>
        <v>0</v>
      </c>
      <c r="H63" s="467">
        <f t="shared" si="18"/>
        <v>0</v>
      </c>
      <c r="I63" s="468">
        <f t="shared" si="8"/>
        <v>0</v>
      </c>
      <c r="J63" s="468"/>
      <c r="K63" s="115"/>
      <c r="L63" s="446">
        <f t="shared" si="0"/>
        <v>0</v>
      </c>
      <c r="M63" s="115"/>
      <c r="N63" s="446">
        <f t="shared" si="1"/>
        <v>0</v>
      </c>
      <c r="O63" s="446">
        <f t="shared" si="2"/>
        <v>0</v>
      </c>
      <c r="P63" s="449"/>
    </row>
    <row r="64" spans="2:16">
      <c r="B64" s="7" t="str">
        <f t="shared" si="9"/>
        <v/>
      </c>
      <c r="C64" s="464">
        <f>IF(D11="","-",+C63+1)</f>
        <v>2069</v>
      </c>
      <c r="D64" s="466">
        <f>IF(F63+SUM(E$17:E63)=D$10,F63,D$10-SUM(E$17:E63))</f>
        <v>0</v>
      </c>
      <c r="E64" s="56">
        <f t="shared" si="15"/>
        <v>0</v>
      </c>
      <c r="F64" s="466">
        <f t="shared" si="16"/>
        <v>0</v>
      </c>
      <c r="G64" s="470">
        <f t="shared" si="17"/>
        <v>0</v>
      </c>
      <c r="H64" s="467">
        <f t="shared" si="18"/>
        <v>0</v>
      </c>
      <c r="I64" s="468">
        <f t="shared" si="8"/>
        <v>0</v>
      </c>
      <c r="J64" s="468"/>
      <c r="K64" s="115"/>
      <c r="L64" s="446">
        <f t="shared" si="0"/>
        <v>0</v>
      </c>
      <c r="M64" s="115"/>
      <c r="N64" s="446">
        <f t="shared" si="1"/>
        <v>0</v>
      </c>
      <c r="O64" s="446">
        <f t="shared" si="2"/>
        <v>0</v>
      </c>
      <c r="P64" s="449"/>
    </row>
    <row r="65" spans="2:16">
      <c r="B65" s="7" t="str">
        <f t="shared" si="9"/>
        <v/>
      </c>
      <c r="C65" s="464">
        <f>IF(D11="","-",+C64+1)</f>
        <v>2070</v>
      </c>
      <c r="D65" s="466">
        <f>IF(F64+SUM(E$17:E64)=D$10,F64,D$10-SUM(E$17:E64))</f>
        <v>0</v>
      </c>
      <c r="E65" s="56">
        <f t="shared" si="15"/>
        <v>0</v>
      </c>
      <c r="F65" s="466">
        <f t="shared" si="16"/>
        <v>0</v>
      </c>
      <c r="G65" s="470">
        <f t="shared" si="17"/>
        <v>0</v>
      </c>
      <c r="H65" s="467">
        <f t="shared" si="18"/>
        <v>0</v>
      </c>
      <c r="I65" s="468">
        <f t="shared" si="8"/>
        <v>0</v>
      </c>
      <c r="J65" s="468"/>
      <c r="K65" s="115"/>
      <c r="L65" s="446">
        <f t="shared" si="0"/>
        <v>0</v>
      </c>
      <c r="M65" s="115"/>
      <c r="N65" s="446">
        <f t="shared" si="1"/>
        <v>0</v>
      </c>
      <c r="O65" s="446">
        <f t="shared" si="2"/>
        <v>0</v>
      </c>
      <c r="P65" s="449"/>
    </row>
    <row r="66" spans="2:16">
      <c r="B66" s="7" t="str">
        <f t="shared" si="9"/>
        <v/>
      </c>
      <c r="C66" s="464">
        <f>IF(D11="","-",+C65+1)</f>
        <v>2071</v>
      </c>
      <c r="D66" s="466">
        <f>IF(F65+SUM(E$17:E65)=D$10,F65,D$10-SUM(E$17:E65))</f>
        <v>0</v>
      </c>
      <c r="E66" s="56">
        <f t="shared" si="15"/>
        <v>0</v>
      </c>
      <c r="F66" s="466">
        <f t="shared" si="16"/>
        <v>0</v>
      </c>
      <c r="G66" s="470">
        <f t="shared" si="17"/>
        <v>0</v>
      </c>
      <c r="H66" s="467">
        <f t="shared" si="18"/>
        <v>0</v>
      </c>
      <c r="I66" s="468">
        <f t="shared" si="8"/>
        <v>0</v>
      </c>
      <c r="J66" s="468"/>
      <c r="K66" s="115"/>
      <c r="L66" s="446">
        <f t="shared" si="0"/>
        <v>0</v>
      </c>
      <c r="M66" s="115"/>
      <c r="N66" s="446">
        <f t="shared" si="1"/>
        <v>0</v>
      </c>
      <c r="O66" s="446">
        <f t="shared" si="2"/>
        <v>0</v>
      </c>
      <c r="P66" s="449"/>
    </row>
    <row r="67" spans="2:16">
      <c r="B67" s="7" t="str">
        <f t="shared" si="9"/>
        <v/>
      </c>
      <c r="C67" s="464">
        <f>IF(D11="","-",+C66+1)</f>
        <v>2072</v>
      </c>
      <c r="D67" s="466">
        <f>IF(F66+SUM(E$17:E66)=D$10,F66,D$10-SUM(E$17:E66))</f>
        <v>0</v>
      </c>
      <c r="E67" s="56">
        <f t="shared" si="15"/>
        <v>0</v>
      </c>
      <c r="F67" s="466">
        <f t="shared" si="16"/>
        <v>0</v>
      </c>
      <c r="G67" s="470">
        <f t="shared" si="17"/>
        <v>0</v>
      </c>
      <c r="H67" s="467">
        <f t="shared" si="18"/>
        <v>0</v>
      </c>
      <c r="I67" s="468">
        <f t="shared" si="8"/>
        <v>0</v>
      </c>
      <c r="J67" s="468"/>
      <c r="K67" s="115"/>
      <c r="L67" s="446">
        <f t="shared" si="0"/>
        <v>0</v>
      </c>
      <c r="M67" s="115"/>
      <c r="N67" s="446">
        <f t="shared" si="1"/>
        <v>0</v>
      </c>
      <c r="O67" s="446">
        <f t="shared" si="2"/>
        <v>0</v>
      </c>
      <c r="P67" s="449"/>
    </row>
    <row r="68" spans="2:16">
      <c r="B68" s="7" t="str">
        <f t="shared" si="9"/>
        <v/>
      </c>
      <c r="C68" s="464">
        <f>IF(D11="","-",+C67+1)</f>
        <v>2073</v>
      </c>
      <c r="D68" s="466">
        <f>IF(F67+SUM(E$17:E67)=D$10,F67,D$10-SUM(E$17:E67))</f>
        <v>0</v>
      </c>
      <c r="E68" s="56">
        <f t="shared" si="15"/>
        <v>0</v>
      </c>
      <c r="F68" s="466">
        <f t="shared" si="16"/>
        <v>0</v>
      </c>
      <c r="G68" s="470">
        <f t="shared" si="17"/>
        <v>0</v>
      </c>
      <c r="H68" s="467">
        <f t="shared" si="18"/>
        <v>0</v>
      </c>
      <c r="I68" s="468">
        <f t="shared" si="8"/>
        <v>0</v>
      </c>
      <c r="J68" s="468"/>
      <c r="K68" s="115"/>
      <c r="L68" s="446">
        <f t="shared" si="0"/>
        <v>0</v>
      </c>
      <c r="M68" s="115"/>
      <c r="N68" s="446">
        <f t="shared" si="1"/>
        <v>0</v>
      </c>
      <c r="O68" s="446">
        <f t="shared" si="2"/>
        <v>0</v>
      </c>
      <c r="P68" s="449"/>
    </row>
    <row r="69" spans="2:16">
      <c r="B69" s="7" t="str">
        <f t="shared" si="9"/>
        <v/>
      </c>
      <c r="C69" s="464">
        <f>IF(D11="","-",+C68+1)</f>
        <v>2074</v>
      </c>
      <c r="D69" s="466">
        <f>IF(F68+SUM(E$17:E68)=D$10,F68,D$10-SUM(E$17:E68))</f>
        <v>0</v>
      </c>
      <c r="E69" s="56">
        <f t="shared" si="15"/>
        <v>0</v>
      </c>
      <c r="F69" s="466">
        <f t="shared" si="16"/>
        <v>0</v>
      </c>
      <c r="G69" s="470">
        <f t="shared" si="17"/>
        <v>0</v>
      </c>
      <c r="H69" s="467">
        <f t="shared" si="18"/>
        <v>0</v>
      </c>
      <c r="I69" s="468">
        <f t="shared" si="8"/>
        <v>0</v>
      </c>
      <c r="J69" s="468"/>
      <c r="K69" s="115"/>
      <c r="L69" s="446">
        <f t="shared" si="0"/>
        <v>0</v>
      </c>
      <c r="M69" s="115"/>
      <c r="N69" s="446">
        <f t="shared" si="1"/>
        <v>0</v>
      </c>
      <c r="O69" s="446">
        <f t="shared" si="2"/>
        <v>0</v>
      </c>
      <c r="P69" s="449"/>
    </row>
    <row r="70" spans="2:16">
      <c r="B70" s="7" t="str">
        <f t="shared" si="9"/>
        <v/>
      </c>
      <c r="C70" s="464">
        <f>IF(D11="","-",+C69+1)</f>
        <v>2075</v>
      </c>
      <c r="D70" s="466">
        <f>IF(F69+SUM(E$17:E69)=D$10,F69,D$10-SUM(E$17:E69))</f>
        <v>0</v>
      </c>
      <c r="E70" s="56">
        <f t="shared" si="15"/>
        <v>0</v>
      </c>
      <c r="F70" s="466">
        <f t="shared" si="16"/>
        <v>0</v>
      </c>
      <c r="G70" s="470">
        <f t="shared" si="17"/>
        <v>0</v>
      </c>
      <c r="H70" s="467">
        <f t="shared" si="18"/>
        <v>0</v>
      </c>
      <c r="I70" s="468">
        <f t="shared" si="8"/>
        <v>0</v>
      </c>
      <c r="J70" s="468"/>
      <c r="K70" s="115"/>
      <c r="L70" s="446">
        <f t="shared" si="0"/>
        <v>0</v>
      </c>
      <c r="M70" s="115"/>
      <c r="N70" s="446">
        <f t="shared" si="1"/>
        <v>0</v>
      </c>
      <c r="O70" s="446">
        <f t="shared" si="2"/>
        <v>0</v>
      </c>
      <c r="P70" s="449"/>
    </row>
    <row r="71" spans="2:16">
      <c r="B71" s="7" t="str">
        <f t="shared" si="9"/>
        <v/>
      </c>
      <c r="C71" s="464">
        <f>IF(D11="","-",+C70+1)</f>
        <v>2076</v>
      </c>
      <c r="D71" s="466">
        <f>IF(F70+SUM(E$17:E70)=D$10,F70,D$10-SUM(E$17:E70))</f>
        <v>0</v>
      </c>
      <c r="E71" s="56">
        <f t="shared" si="15"/>
        <v>0</v>
      </c>
      <c r="F71" s="466">
        <f t="shared" si="16"/>
        <v>0</v>
      </c>
      <c r="G71" s="470">
        <f t="shared" si="17"/>
        <v>0</v>
      </c>
      <c r="H71" s="467">
        <f t="shared" si="18"/>
        <v>0</v>
      </c>
      <c r="I71" s="468">
        <f t="shared" si="8"/>
        <v>0</v>
      </c>
      <c r="J71" s="468"/>
      <c r="K71" s="115"/>
      <c r="L71" s="446">
        <f t="shared" si="0"/>
        <v>0</v>
      </c>
      <c r="M71" s="115"/>
      <c r="N71" s="446">
        <f t="shared" si="1"/>
        <v>0</v>
      </c>
      <c r="O71" s="446">
        <f t="shared" si="2"/>
        <v>0</v>
      </c>
      <c r="P71" s="449"/>
    </row>
    <row r="72" spans="2:16" ht="13.5" thickBot="1">
      <c r="B72" s="7" t="str">
        <f t="shared" si="9"/>
        <v/>
      </c>
      <c r="C72" s="471">
        <f>IF(D11="","-",+C71+1)</f>
        <v>2077</v>
      </c>
      <c r="D72" s="472">
        <f>IF(F71+SUM(E$17:E71)=D$10,F71,D$10-SUM(E$17:E71))</f>
        <v>0</v>
      </c>
      <c r="E72" s="357">
        <f>IF(+I$14&lt;F71,I$14,D72)</f>
        <v>0</v>
      </c>
      <c r="F72" s="472">
        <f>+D72-E72</f>
        <v>0</v>
      </c>
      <c r="G72" s="473">
        <f>(D72+F72)/2*I$12+E72</f>
        <v>0</v>
      </c>
      <c r="H72" s="456">
        <f>+(D72+F72)/2*I$13+E72</f>
        <v>0</v>
      </c>
      <c r="I72" s="474">
        <f>H72-G72</f>
        <v>0</v>
      </c>
      <c r="J72" s="468"/>
      <c r="K72" s="116"/>
      <c r="L72" s="475">
        <f t="shared" si="0"/>
        <v>0</v>
      </c>
      <c r="M72" s="116"/>
      <c r="N72" s="475">
        <f t="shared" si="1"/>
        <v>0</v>
      </c>
      <c r="O72" s="475">
        <f t="shared" si="2"/>
        <v>0</v>
      </c>
      <c r="P72" s="449"/>
    </row>
    <row r="73" spans="2:16">
      <c r="C73" s="465" t="s">
        <v>77</v>
      </c>
      <c r="D73" s="453"/>
      <c r="E73" s="453">
        <f>SUM(E17:E72)</f>
        <v>37862.590000000004</v>
      </c>
      <c r="F73" s="453"/>
      <c r="G73" s="453">
        <f>SUM(G17:G72)</f>
        <v>124929.40727460671</v>
      </c>
      <c r="H73" s="453">
        <f>SUM(H17:H72)</f>
        <v>124929.40727460671</v>
      </c>
      <c r="I73" s="453">
        <f>SUM(I17:I72)</f>
        <v>0</v>
      </c>
      <c r="J73" s="453"/>
      <c r="K73" s="453"/>
      <c r="L73" s="453"/>
      <c r="M73" s="453"/>
      <c r="N73" s="453"/>
      <c r="O73" s="449"/>
      <c r="P73" s="449"/>
    </row>
    <row r="74" spans="2:16">
      <c r="D74" s="450"/>
      <c r="E74" s="449"/>
      <c r="F74" s="449"/>
      <c r="G74" s="449"/>
      <c r="H74" s="452"/>
      <c r="I74" s="452"/>
      <c r="J74" s="453"/>
      <c r="K74" s="452"/>
      <c r="L74" s="452"/>
      <c r="M74" s="452"/>
      <c r="N74" s="452"/>
      <c r="O74" s="449"/>
      <c r="P74" s="449"/>
    </row>
    <row r="75" spans="2:16">
      <c r="C75" s="30" t="s">
        <v>106</v>
      </c>
      <c r="D75" s="450"/>
      <c r="E75" s="449"/>
      <c r="F75" s="449"/>
      <c r="G75" s="449"/>
      <c r="H75" s="452"/>
      <c r="I75" s="452"/>
      <c r="J75" s="453"/>
      <c r="K75" s="452"/>
      <c r="L75" s="452"/>
      <c r="M75" s="452"/>
      <c r="N75" s="452"/>
      <c r="O75" s="449"/>
      <c r="P75" s="449"/>
    </row>
    <row r="76" spans="2:16">
      <c r="C76" s="26" t="s">
        <v>78</v>
      </c>
      <c r="D76" s="450"/>
      <c r="E76" s="449"/>
      <c r="F76" s="449"/>
      <c r="G76" s="449"/>
      <c r="H76" s="452"/>
      <c r="I76" s="452"/>
      <c r="J76" s="453"/>
      <c r="K76" s="452"/>
      <c r="L76" s="452"/>
      <c r="M76" s="452"/>
      <c r="N76" s="452"/>
      <c r="O76" s="449"/>
      <c r="P76" s="449"/>
    </row>
    <row r="77" spans="2:16">
      <c r="C77" s="26" t="s">
        <v>79</v>
      </c>
      <c r="D77" s="465"/>
      <c r="E77" s="465"/>
      <c r="F77" s="465"/>
      <c r="G77" s="453"/>
      <c r="H77" s="453"/>
      <c r="I77" s="476"/>
      <c r="J77" s="476"/>
      <c r="K77" s="476"/>
      <c r="L77" s="476"/>
      <c r="M77" s="476"/>
      <c r="N77" s="476"/>
      <c r="O77" s="449"/>
      <c r="P77" s="449"/>
    </row>
    <row r="78" spans="2:16">
      <c r="C78" s="26"/>
      <c r="D78" s="465"/>
      <c r="E78" s="465"/>
      <c r="F78" s="465"/>
      <c r="G78" s="453"/>
      <c r="H78" s="453"/>
      <c r="I78" s="476"/>
      <c r="J78" s="476"/>
      <c r="K78" s="476"/>
      <c r="L78" s="476"/>
      <c r="M78" s="476"/>
      <c r="N78" s="476"/>
      <c r="O78" s="449"/>
      <c r="P78" s="449"/>
    </row>
    <row r="79" spans="2:16">
      <c r="B79" s="449"/>
      <c r="C79" s="449"/>
      <c r="D79" s="450"/>
      <c r="E79" s="449"/>
      <c r="F79" s="465"/>
      <c r="G79" s="449"/>
      <c r="H79" s="452"/>
      <c r="I79" s="449"/>
      <c r="J79" s="449"/>
      <c r="K79" s="449"/>
      <c r="L79" s="449"/>
      <c r="M79" s="449"/>
      <c r="N79" s="449"/>
      <c r="O79" s="449"/>
      <c r="P79" s="449"/>
    </row>
    <row r="80" spans="2:16" ht="18">
      <c r="B80" s="449"/>
      <c r="C80" s="477"/>
      <c r="D80" s="450"/>
      <c r="E80" s="449"/>
      <c r="F80" s="465"/>
      <c r="G80" s="449"/>
      <c r="H80" s="452"/>
      <c r="I80" s="449"/>
      <c r="J80" s="449"/>
      <c r="K80" s="449"/>
      <c r="L80" s="449"/>
      <c r="M80" s="449"/>
      <c r="N80" s="449"/>
      <c r="P80" s="95" t="s">
        <v>144</v>
      </c>
    </row>
    <row r="81" spans="1:16">
      <c r="B81" s="449"/>
      <c r="C81" s="449"/>
      <c r="D81" s="450"/>
      <c r="E81" s="449"/>
      <c r="F81" s="465"/>
      <c r="G81" s="449"/>
      <c r="H81" s="452"/>
      <c r="I81" s="449"/>
      <c r="J81" s="449"/>
      <c r="K81" s="449"/>
      <c r="L81" s="449"/>
      <c r="M81" s="449"/>
      <c r="N81" s="449"/>
      <c r="O81" s="449"/>
      <c r="P81" s="449"/>
    </row>
    <row r="82" spans="1:16">
      <c r="B82" s="449"/>
      <c r="C82" s="449"/>
      <c r="D82" s="450"/>
      <c r="E82" s="449"/>
      <c r="F82" s="465"/>
      <c r="G82" s="449"/>
      <c r="H82" s="452"/>
      <c r="I82" s="449"/>
      <c r="J82" s="449"/>
      <c r="K82" s="449"/>
      <c r="L82" s="449"/>
      <c r="M82" s="449"/>
      <c r="N82" s="449"/>
      <c r="O82" s="449"/>
      <c r="P82" s="449"/>
    </row>
    <row r="83" spans="1:16" ht="20.25">
      <c r="A83" s="94" t="s">
        <v>146</v>
      </c>
      <c r="B83" s="449"/>
      <c r="C83" s="449"/>
      <c r="D83" s="450"/>
      <c r="E83" s="449"/>
      <c r="F83" s="451"/>
      <c r="G83" s="451"/>
      <c r="H83" s="449"/>
      <c r="I83" s="452"/>
      <c r="L83" s="13"/>
      <c r="M83" s="13"/>
      <c r="P83" s="13" t="str">
        <f ca="1">P1</f>
        <v>PSO Project 29 of 36</v>
      </c>
    </row>
    <row r="84" spans="1:16" ht="18">
      <c r="B84" s="449"/>
      <c r="C84" s="449"/>
      <c r="D84" s="450"/>
      <c r="E84" s="449"/>
      <c r="F84" s="449"/>
      <c r="G84" s="449"/>
      <c r="H84" s="449"/>
      <c r="I84" s="452"/>
      <c r="J84" s="449"/>
      <c r="K84" s="449"/>
      <c r="L84" s="449"/>
      <c r="M84" s="449"/>
      <c r="P84" s="100" t="s">
        <v>151</v>
      </c>
    </row>
    <row r="85" spans="1:16" ht="18.75" thickBot="1">
      <c r="B85" s="4" t="s">
        <v>42</v>
      </c>
      <c r="C85" s="65" t="s">
        <v>91</v>
      </c>
      <c r="D85" s="450"/>
      <c r="E85" s="449"/>
      <c r="F85" s="449"/>
      <c r="G85" s="449"/>
      <c r="H85" s="449"/>
      <c r="I85" s="452"/>
      <c r="J85" s="452"/>
      <c r="K85" s="453"/>
      <c r="L85" s="452"/>
      <c r="M85" s="452"/>
      <c r="N85" s="452"/>
      <c r="O85" s="453"/>
      <c r="P85" s="449"/>
    </row>
    <row r="86" spans="1:16" ht="15.75" thickBot="1">
      <c r="C86" s="247"/>
      <c r="D86" s="450"/>
      <c r="E86" s="449"/>
      <c r="F86" s="449"/>
      <c r="G86" s="449"/>
      <c r="H86" s="449"/>
      <c r="I86" s="452"/>
      <c r="J86" s="452"/>
      <c r="K86" s="453"/>
      <c r="L86" s="101">
        <f>+J92</f>
        <v>2025</v>
      </c>
      <c r="M86" s="478" t="s">
        <v>8</v>
      </c>
      <c r="N86" s="479" t="s">
        <v>153</v>
      </c>
      <c r="O86" s="480" t="s">
        <v>10</v>
      </c>
      <c r="P86" s="449"/>
    </row>
    <row r="87" spans="1:16" ht="15">
      <c r="C87" s="91" t="s">
        <v>44</v>
      </c>
      <c r="D87" s="450"/>
      <c r="E87" s="449"/>
      <c r="F87" s="449"/>
      <c r="G87" s="449"/>
      <c r="H87" s="325"/>
      <c r="I87" s="449" t="s">
        <v>45</v>
      </c>
      <c r="J87" s="449"/>
      <c r="K87" s="105"/>
      <c r="L87" s="481" t="s">
        <v>154</v>
      </c>
      <c r="M87" s="364">
        <f>IF(J92&lt;D11,0,VLOOKUP(J92,C17:O72,9))</f>
        <v>5008.7121545581331</v>
      </c>
      <c r="N87" s="364">
        <f>IF(J92&lt;D11,0,VLOOKUP(J92,C17:O72,11))</f>
        <v>5008.7121545581331</v>
      </c>
      <c r="O87" s="482">
        <f>+N87-M87</f>
        <v>0</v>
      </c>
      <c r="P87" s="449"/>
    </row>
    <row r="88" spans="1:16" ht="15.75">
      <c r="C88" s="6"/>
      <c r="D88" s="450"/>
      <c r="E88" s="449"/>
      <c r="F88" s="449"/>
      <c r="G88" s="449"/>
      <c r="H88" s="449"/>
      <c r="I88" s="327"/>
      <c r="J88" s="327"/>
      <c r="K88" s="365"/>
      <c r="L88" s="483" t="s">
        <v>155</v>
      </c>
      <c r="M88" s="367">
        <f>IF(J92&lt;D11,0,VLOOKUP(J92,C99:P154,6))</f>
        <v>4740.1681662083593</v>
      </c>
      <c r="N88" s="367">
        <f>IF(J92&lt;D11,0,VLOOKUP(J92,C99:P154,7))</f>
        <v>4740.1681662083593</v>
      </c>
      <c r="O88" s="484">
        <f>+N88-M88</f>
        <v>0</v>
      </c>
      <c r="P88" s="449"/>
    </row>
    <row r="89" spans="1:16" ht="13.5" thickBot="1">
      <c r="C89" s="26" t="s">
        <v>92</v>
      </c>
      <c r="D89" s="97" t="s">
        <v>343</v>
      </c>
      <c r="E89" s="449"/>
      <c r="F89" s="449"/>
      <c r="G89" s="449"/>
      <c r="H89" s="449"/>
      <c r="I89" s="452"/>
      <c r="J89" s="452"/>
      <c r="K89" s="368"/>
      <c r="L89" s="485" t="s">
        <v>156</v>
      </c>
      <c r="M89" s="369">
        <f>+M88-M87</f>
        <v>-268.54398834977383</v>
      </c>
      <c r="N89" s="369">
        <f>+N88-N87</f>
        <v>-268.54398834977383</v>
      </c>
      <c r="O89" s="370">
        <f>+O88-O87</f>
        <v>0</v>
      </c>
      <c r="P89" s="449"/>
    </row>
    <row r="90" spans="1:16" ht="13.5" thickBot="1">
      <c r="C90" s="30"/>
      <c r="D90" s="64">
        <f>D8</f>
        <v>0</v>
      </c>
      <c r="E90" s="465"/>
      <c r="F90" s="465"/>
      <c r="G90" s="465"/>
      <c r="H90" s="457"/>
      <c r="I90" s="452"/>
      <c r="J90" s="452"/>
      <c r="K90" s="453"/>
      <c r="L90" s="452"/>
      <c r="M90" s="452"/>
      <c r="N90" s="452"/>
      <c r="O90" s="453"/>
      <c r="P90" s="449"/>
    </row>
    <row r="91" spans="1:16" ht="13.5" thickBot="1">
      <c r="C91" s="486" t="s">
        <v>93</v>
      </c>
      <c r="D91" s="89" t="str">
        <f>D9</f>
        <v>TP20033002</v>
      </c>
      <c r="E91" s="74" t="str">
        <f>E9</f>
        <v xml:space="preserve">  SPP Project ID = 81520</v>
      </c>
      <c r="F91" s="74"/>
      <c r="G91" s="74"/>
      <c r="H91" s="74"/>
      <c r="I91" s="74"/>
      <c r="J91" s="74"/>
    </row>
    <row r="92" spans="1:16">
      <c r="C92" s="458" t="s">
        <v>226</v>
      </c>
      <c r="D92" s="487">
        <v>37862.589999999997</v>
      </c>
      <c r="E92" s="449" t="s">
        <v>94</v>
      </c>
      <c r="H92" s="450"/>
      <c r="I92" s="450"/>
      <c r="J92" s="36">
        <f>+'PSO.WS.G.BPU.ATRR.True-up'!M16</f>
        <v>2025</v>
      </c>
      <c r="K92" s="34"/>
      <c r="L92" s="453" t="s">
        <v>95</v>
      </c>
      <c r="P92" s="449"/>
    </row>
    <row r="93" spans="1:16">
      <c r="C93" s="459" t="s">
        <v>53</v>
      </c>
      <c r="D93" s="488">
        <f>+D11</f>
        <v>2022</v>
      </c>
      <c r="E93" s="459" t="s">
        <v>54</v>
      </c>
      <c r="F93" s="450"/>
      <c r="G93" s="450"/>
      <c r="J93" s="460">
        <v>0</v>
      </c>
      <c r="K93" s="461"/>
      <c r="L93" t="str">
        <f>"          INPUT TRUE-UP ARR (WITH &amp; WITHOUT INCENTIVES) FROM EACH PRIOR YEAR"</f>
        <v xml:space="preserve">          INPUT TRUE-UP ARR (WITH &amp; WITHOUT INCENTIVES) FROM EACH PRIOR YEAR</v>
      </c>
      <c r="P93" s="449"/>
    </row>
    <row r="94" spans="1:16">
      <c r="C94" s="459" t="s">
        <v>55</v>
      </c>
      <c r="D94" s="488">
        <f>+D12</f>
        <v>6</v>
      </c>
      <c r="E94" s="459" t="s">
        <v>56</v>
      </c>
      <c r="F94" s="450"/>
      <c r="G94" s="450"/>
      <c r="J94" s="462">
        <v>0.10781124580725182</v>
      </c>
      <c r="K94" s="451"/>
      <c r="L94" t="s">
        <v>96</v>
      </c>
      <c r="P94" s="449"/>
    </row>
    <row r="95" spans="1:16">
      <c r="C95" s="459" t="s">
        <v>58</v>
      </c>
      <c r="D95" s="460">
        <v>42</v>
      </c>
      <c r="E95" s="459" t="s">
        <v>59</v>
      </c>
      <c r="F95" s="450"/>
      <c r="G95" s="450"/>
      <c r="J95" s="462">
        <v>0.10781124580725182</v>
      </c>
      <c r="K95" s="451"/>
      <c r="L95" s="453" t="s">
        <v>60</v>
      </c>
      <c r="M95" s="451"/>
      <c r="N95" s="451"/>
      <c r="O95" s="451"/>
      <c r="P95" s="449"/>
    </row>
    <row r="96" spans="1:16" ht="13.5" thickBot="1">
      <c r="C96" s="459" t="s">
        <v>61</v>
      </c>
      <c r="D96" s="489" t="str">
        <f>+D14</f>
        <v>No</v>
      </c>
      <c r="E96" s="490" t="s">
        <v>63</v>
      </c>
      <c r="F96" s="491"/>
      <c r="G96" s="491"/>
      <c r="H96" s="76"/>
      <c r="I96" s="76"/>
      <c r="J96" s="456">
        <f>IF(D92=0,0,ROUND(D92/D95,0))</f>
        <v>901</v>
      </c>
      <c r="K96" s="453"/>
      <c r="L96" s="453"/>
      <c r="M96" s="453"/>
      <c r="N96" s="453"/>
      <c r="O96" s="453"/>
      <c r="P96" s="449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3.5" thickBot="1">
      <c r="C99" s="464">
        <f>IF(D93= "","-",D93)</f>
        <v>2022</v>
      </c>
      <c r="D99" s="115">
        <v>0</v>
      </c>
      <c r="E99" s="115">
        <v>0</v>
      </c>
      <c r="F99" s="115">
        <v>31450.100000000006</v>
      </c>
      <c r="G99" s="115">
        <v>15725.050000000003</v>
      </c>
      <c r="H99" s="115">
        <v>1695.3372308813255</v>
      </c>
      <c r="I99" s="115">
        <v>1695.3372308813255</v>
      </c>
      <c r="J99" s="446">
        <f>+I99-H99</f>
        <v>0</v>
      </c>
      <c r="K99" s="446"/>
      <c r="L99" s="469">
        <f>+H99</f>
        <v>1695.3372308813255</v>
      </c>
      <c r="M99" s="469">
        <f t="shared" ref="M99:M130" si="19">IF(L99&lt;&gt;0,+H99-L99,0)</f>
        <v>0</v>
      </c>
      <c r="N99" s="469">
        <f>+I99</f>
        <v>1695.3372308813255</v>
      </c>
      <c r="O99" s="469">
        <f t="shared" ref="O99:O130" si="20">IF(N99&lt;&gt;0,+I99-N99,0)</f>
        <v>0</v>
      </c>
      <c r="P99" s="469">
        <f t="shared" ref="P99:P130" si="21">+O99-M99</f>
        <v>0</v>
      </c>
    </row>
    <row r="100" spans="1:16" ht="13.5" thickBot="1">
      <c r="B100" s="7" t="str">
        <f>IF(D100=F99,"","IU")</f>
        <v>IU</v>
      </c>
      <c r="C100" s="464">
        <f>IF(D93="","-",+C99+1)</f>
        <v>2023</v>
      </c>
      <c r="D100" s="115">
        <v>37862.589999999997</v>
      </c>
      <c r="E100" s="115">
        <v>901</v>
      </c>
      <c r="F100" s="115">
        <v>36961.589999999997</v>
      </c>
      <c r="G100" s="115">
        <v>37412.089999999997</v>
      </c>
      <c r="H100" s="115">
        <v>4934.444031153027</v>
      </c>
      <c r="I100" s="115">
        <v>4934.444031153027</v>
      </c>
      <c r="J100" s="446">
        <f t="shared" ref="J100:J130" si="22">+I100-H100</f>
        <v>0</v>
      </c>
      <c r="K100" s="446"/>
      <c r="L100" s="469">
        <f>+H100</f>
        <v>4934.444031153027</v>
      </c>
      <c r="M100" s="469">
        <f t="shared" ref="M100" si="23">IF(L100&lt;&gt;0,+H100-L100,0)</f>
        <v>0</v>
      </c>
      <c r="N100" s="469">
        <f>+I100</f>
        <v>4934.444031153027</v>
      </c>
      <c r="O100" s="469">
        <f t="shared" ref="O100" si="24">IF(N100&lt;&gt;0,+I100-N100,0)</f>
        <v>0</v>
      </c>
      <c r="P100" s="469">
        <f t="shared" ref="P100" si="25">+O100-M100</f>
        <v>0</v>
      </c>
    </row>
    <row r="101" spans="1:16">
      <c r="B101" s="7" t="str">
        <f t="shared" ref="B101:B154" si="26">IF(D101=F100,"","IU")</f>
        <v/>
      </c>
      <c r="C101" s="464">
        <f>IF(D93="","-",+C100+1)</f>
        <v>2024</v>
      </c>
      <c r="D101" s="115">
        <v>36961.589999999997</v>
      </c>
      <c r="E101" s="115">
        <v>901</v>
      </c>
      <c r="F101" s="115">
        <v>36060.589999999997</v>
      </c>
      <c r="G101" s="115">
        <v>36511.089999999997</v>
      </c>
      <c r="H101" s="115">
        <v>4837.306098680694</v>
      </c>
      <c r="I101" s="115">
        <v>4837.306098680694</v>
      </c>
      <c r="J101" s="446">
        <f t="shared" si="22"/>
        <v>0</v>
      </c>
      <c r="K101" s="446"/>
      <c r="L101" s="469">
        <f>+H101</f>
        <v>4837.306098680694</v>
      </c>
      <c r="M101" s="469">
        <f t="shared" ref="M101" si="27">IF(L101&lt;&gt;0,+H101-L101,0)</f>
        <v>0</v>
      </c>
      <c r="N101" s="469">
        <f>+I101</f>
        <v>4837.306098680694</v>
      </c>
      <c r="O101" s="469">
        <f t="shared" ref="O101" si="28">IF(N101&lt;&gt;0,+I101-N101,0)</f>
        <v>0</v>
      </c>
      <c r="P101" s="469">
        <f t="shared" ref="P101" si="29">+O101-M101</f>
        <v>0</v>
      </c>
    </row>
    <row r="102" spans="1:16">
      <c r="B102" s="7" t="str">
        <f t="shared" si="26"/>
        <v/>
      </c>
      <c r="C102" s="464">
        <f>IF(D93="","-",+C101+1)</f>
        <v>2025</v>
      </c>
      <c r="D102" s="465">
        <f>IF(F101+SUM(E$99:E101)=D$92,F101,D$92-SUM(E$99:E101))</f>
        <v>36060.589999999997</v>
      </c>
      <c r="E102" s="354">
        <f t="shared" ref="E102:E154" si="30">IF(+J$96&lt;F101,J$96,D102)</f>
        <v>901</v>
      </c>
      <c r="F102" s="466">
        <f t="shared" ref="F102:F154" si="31">+D102-E102</f>
        <v>35159.589999999997</v>
      </c>
      <c r="G102" s="466">
        <f t="shared" ref="G102:G154" si="32">+(F102+D102)/2</f>
        <v>35610.089999999997</v>
      </c>
      <c r="H102" s="494">
        <f t="shared" ref="H102:H154" si="33">+J$94*G102+E102</f>
        <v>4740.1681662083593</v>
      </c>
      <c r="I102" s="495">
        <f t="shared" ref="I102:I154" si="34">+J$95*G102+E102</f>
        <v>4740.1681662083593</v>
      </c>
      <c r="J102" s="446">
        <f t="shared" si="22"/>
        <v>0</v>
      </c>
      <c r="K102" s="446"/>
      <c r="L102" s="115"/>
      <c r="M102" s="446">
        <f t="shared" si="19"/>
        <v>0</v>
      </c>
      <c r="N102" s="115"/>
      <c r="O102" s="446">
        <f t="shared" si="20"/>
        <v>0</v>
      </c>
      <c r="P102" s="446">
        <f t="shared" si="21"/>
        <v>0</v>
      </c>
    </row>
    <row r="103" spans="1:16">
      <c r="B103" s="7" t="str">
        <f t="shared" si="26"/>
        <v/>
      </c>
      <c r="C103" s="464">
        <f>IF(D93="","-",+C102+1)</f>
        <v>2026</v>
      </c>
      <c r="D103" s="465">
        <f>IF(F102+SUM(E$99:E102)=D$92,F102,D$92-SUM(E$99:E102))</f>
        <v>35159.589999999997</v>
      </c>
      <c r="E103" s="354">
        <f t="shared" si="30"/>
        <v>901</v>
      </c>
      <c r="F103" s="466">
        <f t="shared" si="31"/>
        <v>34258.589999999997</v>
      </c>
      <c r="G103" s="466">
        <f t="shared" si="32"/>
        <v>34709.089999999997</v>
      </c>
      <c r="H103" s="494">
        <f t="shared" si="33"/>
        <v>4643.0302337360263</v>
      </c>
      <c r="I103" s="495">
        <f t="shared" si="34"/>
        <v>4643.0302337360263</v>
      </c>
      <c r="J103" s="446">
        <f t="shared" si="22"/>
        <v>0</v>
      </c>
      <c r="K103" s="446"/>
      <c r="L103" s="115"/>
      <c r="M103" s="446">
        <f t="shared" si="19"/>
        <v>0</v>
      </c>
      <c r="N103" s="115"/>
      <c r="O103" s="446">
        <f t="shared" si="20"/>
        <v>0</v>
      </c>
      <c r="P103" s="446">
        <f t="shared" si="21"/>
        <v>0</v>
      </c>
    </row>
    <row r="104" spans="1:16">
      <c r="B104" s="7" t="str">
        <f t="shared" si="26"/>
        <v/>
      </c>
      <c r="C104" s="464">
        <f>IF(D93="","-",+C103+1)</f>
        <v>2027</v>
      </c>
      <c r="D104" s="465">
        <f>IF(F103+SUM(E$99:E103)=D$92,F103,D$92-SUM(E$99:E103))</f>
        <v>34258.589999999997</v>
      </c>
      <c r="E104" s="354">
        <f t="shared" si="30"/>
        <v>901</v>
      </c>
      <c r="F104" s="466">
        <f t="shared" si="31"/>
        <v>33357.589999999997</v>
      </c>
      <c r="G104" s="466">
        <f t="shared" si="32"/>
        <v>33808.089999999997</v>
      </c>
      <c r="H104" s="494">
        <f t="shared" si="33"/>
        <v>4545.8923012636915</v>
      </c>
      <c r="I104" s="495">
        <f t="shared" si="34"/>
        <v>4545.8923012636915</v>
      </c>
      <c r="J104" s="446">
        <f t="shared" si="22"/>
        <v>0</v>
      </c>
      <c r="K104" s="446"/>
      <c r="L104" s="115"/>
      <c r="M104" s="446">
        <f t="shared" si="19"/>
        <v>0</v>
      </c>
      <c r="N104" s="115"/>
      <c r="O104" s="446">
        <f t="shared" si="20"/>
        <v>0</v>
      </c>
      <c r="P104" s="446">
        <f t="shared" si="21"/>
        <v>0</v>
      </c>
    </row>
    <row r="105" spans="1:16">
      <c r="B105" s="7" t="str">
        <f t="shared" si="26"/>
        <v/>
      </c>
      <c r="C105" s="464">
        <f>IF(D93="","-",+C104+1)</f>
        <v>2028</v>
      </c>
      <c r="D105" s="465">
        <f>IF(F104+SUM(E$99:E104)=D$92,F104,D$92-SUM(E$99:E104))</f>
        <v>33357.589999999997</v>
      </c>
      <c r="E105" s="354">
        <f t="shared" si="30"/>
        <v>901</v>
      </c>
      <c r="F105" s="466">
        <f t="shared" si="31"/>
        <v>32456.589999999997</v>
      </c>
      <c r="G105" s="466">
        <f t="shared" si="32"/>
        <v>32907.089999999997</v>
      </c>
      <c r="H105" s="494">
        <f t="shared" si="33"/>
        <v>4448.7543687913585</v>
      </c>
      <c r="I105" s="495">
        <f t="shared" si="34"/>
        <v>4448.7543687913585</v>
      </c>
      <c r="J105" s="446">
        <f t="shared" si="22"/>
        <v>0</v>
      </c>
      <c r="K105" s="446"/>
      <c r="L105" s="115"/>
      <c r="M105" s="446">
        <f t="shared" si="19"/>
        <v>0</v>
      </c>
      <c r="N105" s="115"/>
      <c r="O105" s="446">
        <f t="shared" si="20"/>
        <v>0</v>
      </c>
      <c r="P105" s="446">
        <f t="shared" si="21"/>
        <v>0</v>
      </c>
    </row>
    <row r="106" spans="1:16">
      <c r="B106" s="7" t="str">
        <f t="shared" si="26"/>
        <v/>
      </c>
      <c r="C106" s="464">
        <f>IF(D93="","-",+C105+1)</f>
        <v>2029</v>
      </c>
      <c r="D106" s="465">
        <f>IF(F105+SUM(E$99:E105)=D$92,F105,D$92-SUM(E$99:E105))</f>
        <v>32456.589999999997</v>
      </c>
      <c r="E106" s="354">
        <f t="shared" si="30"/>
        <v>901</v>
      </c>
      <c r="F106" s="466">
        <f t="shared" si="31"/>
        <v>31555.589999999997</v>
      </c>
      <c r="G106" s="466">
        <f t="shared" si="32"/>
        <v>32006.089999999997</v>
      </c>
      <c r="H106" s="494">
        <f t="shared" si="33"/>
        <v>4351.6164363190237</v>
      </c>
      <c r="I106" s="495">
        <f t="shared" si="34"/>
        <v>4351.6164363190237</v>
      </c>
      <c r="J106" s="446">
        <f t="shared" si="22"/>
        <v>0</v>
      </c>
      <c r="K106" s="446"/>
      <c r="L106" s="115"/>
      <c r="M106" s="446">
        <f t="shared" si="19"/>
        <v>0</v>
      </c>
      <c r="N106" s="115"/>
      <c r="O106" s="446">
        <f t="shared" si="20"/>
        <v>0</v>
      </c>
      <c r="P106" s="446">
        <f t="shared" si="21"/>
        <v>0</v>
      </c>
    </row>
    <row r="107" spans="1:16">
      <c r="B107" s="7" t="str">
        <f t="shared" si="26"/>
        <v/>
      </c>
      <c r="C107" s="464">
        <f>IF(D93="","-",+C106+1)</f>
        <v>2030</v>
      </c>
      <c r="D107" s="465">
        <f>IF(F106+SUM(E$99:E106)=D$92,F106,D$92-SUM(E$99:E106))</f>
        <v>31555.589999999997</v>
      </c>
      <c r="E107" s="354">
        <f t="shared" si="30"/>
        <v>901</v>
      </c>
      <c r="F107" s="466">
        <f t="shared" si="31"/>
        <v>30654.589999999997</v>
      </c>
      <c r="G107" s="466">
        <f t="shared" si="32"/>
        <v>31105.089999999997</v>
      </c>
      <c r="H107" s="494">
        <f t="shared" si="33"/>
        <v>4254.4785038466907</v>
      </c>
      <c r="I107" s="495">
        <f t="shared" si="34"/>
        <v>4254.4785038466907</v>
      </c>
      <c r="J107" s="446">
        <f t="shared" si="22"/>
        <v>0</v>
      </c>
      <c r="K107" s="446"/>
      <c r="L107" s="115"/>
      <c r="M107" s="446">
        <f t="shared" si="19"/>
        <v>0</v>
      </c>
      <c r="N107" s="115"/>
      <c r="O107" s="446">
        <f t="shared" si="20"/>
        <v>0</v>
      </c>
      <c r="P107" s="446">
        <f t="shared" si="21"/>
        <v>0</v>
      </c>
    </row>
    <row r="108" spans="1:16">
      <c r="B108" s="7" t="str">
        <f t="shared" si="26"/>
        <v/>
      </c>
      <c r="C108" s="464">
        <f>IF(D93="","-",+C107+1)</f>
        <v>2031</v>
      </c>
      <c r="D108" s="465">
        <f>IF(F107+SUM(E$99:E107)=D$92,F107,D$92-SUM(E$99:E107))</f>
        <v>30654.589999999997</v>
      </c>
      <c r="E108" s="354">
        <f t="shared" si="30"/>
        <v>901</v>
      </c>
      <c r="F108" s="466">
        <f t="shared" si="31"/>
        <v>29753.589999999997</v>
      </c>
      <c r="G108" s="466">
        <f t="shared" si="32"/>
        <v>30204.089999999997</v>
      </c>
      <c r="H108" s="494">
        <f t="shared" si="33"/>
        <v>4157.3405713743559</v>
      </c>
      <c r="I108" s="495">
        <f t="shared" si="34"/>
        <v>4157.3405713743559</v>
      </c>
      <c r="J108" s="446">
        <f t="shared" si="22"/>
        <v>0</v>
      </c>
      <c r="K108" s="446"/>
      <c r="L108" s="115"/>
      <c r="M108" s="446">
        <f t="shared" si="19"/>
        <v>0</v>
      </c>
      <c r="N108" s="115"/>
      <c r="O108" s="446">
        <f t="shared" si="20"/>
        <v>0</v>
      </c>
      <c r="P108" s="446">
        <f t="shared" si="21"/>
        <v>0</v>
      </c>
    </row>
    <row r="109" spans="1:16">
      <c r="B109" s="7" t="str">
        <f t="shared" si="26"/>
        <v/>
      </c>
      <c r="C109" s="464">
        <f>IF(D93="","-",+C108+1)</f>
        <v>2032</v>
      </c>
      <c r="D109" s="465">
        <f>IF(F108+SUM(E$99:E108)=D$92,F108,D$92-SUM(E$99:E108))</f>
        <v>29753.589999999997</v>
      </c>
      <c r="E109" s="354">
        <f t="shared" si="30"/>
        <v>901</v>
      </c>
      <c r="F109" s="466">
        <f t="shared" si="31"/>
        <v>28852.589999999997</v>
      </c>
      <c r="G109" s="466">
        <f t="shared" si="32"/>
        <v>29303.089999999997</v>
      </c>
      <c r="H109" s="494">
        <f t="shared" si="33"/>
        <v>4060.2026389020225</v>
      </c>
      <c r="I109" s="495">
        <f t="shared" si="34"/>
        <v>4060.2026389020225</v>
      </c>
      <c r="J109" s="446">
        <f t="shared" si="22"/>
        <v>0</v>
      </c>
      <c r="K109" s="446"/>
      <c r="L109" s="115"/>
      <c r="M109" s="446">
        <f t="shared" si="19"/>
        <v>0</v>
      </c>
      <c r="N109" s="115"/>
      <c r="O109" s="446">
        <f t="shared" si="20"/>
        <v>0</v>
      </c>
      <c r="P109" s="446">
        <f t="shared" si="21"/>
        <v>0</v>
      </c>
    </row>
    <row r="110" spans="1:16">
      <c r="B110" s="7" t="str">
        <f t="shared" si="26"/>
        <v/>
      </c>
      <c r="C110" s="464">
        <f>IF(D93="","-",+C109+1)</f>
        <v>2033</v>
      </c>
      <c r="D110" s="465">
        <f>IF(F109+SUM(E$99:E109)=D$92,F109,D$92-SUM(E$99:E109))</f>
        <v>28852.589999999997</v>
      </c>
      <c r="E110" s="354">
        <f t="shared" si="30"/>
        <v>901</v>
      </c>
      <c r="F110" s="466">
        <f t="shared" si="31"/>
        <v>27951.589999999997</v>
      </c>
      <c r="G110" s="466">
        <f t="shared" si="32"/>
        <v>28402.089999999997</v>
      </c>
      <c r="H110" s="494">
        <f t="shared" si="33"/>
        <v>3963.0647064296886</v>
      </c>
      <c r="I110" s="495">
        <f t="shared" si="34"/>
        <v>3963.0647064296886</v>
      </c>
      <c r="J110" s="446">
        <f t="shared" si="22"/>
        <v>0</v>
      </c>
      <c r="K110" s="446"/>
      <c r="L110" s="115"/>
      <c r="M110" s="446">
        <f t="shared" si="19"/>
        <v>0</v>
      </c>
      <c r="N110" s="115"/>
      <c r="O110" s="446">
        <f t="shared" si="20"/>
        <v>0</v>
      </c>
      <c r="P110" s="446">
        <f t="shared" si="21"/>
        <v>0</v>
      </c>
    </row>
    <row r="111" spans="1:16">
      <c r="B111" s="7" t="str">
        <f t="shared" si="26"/>
        <v/>
      </c>
      <c r="C111" s="464">
        <f>IF(D93="","-",+C110+1)</f>
        <v>2034</v>
      </c>
      <c r="D111" s="465">
        <f>IF(F110+SUM(E$99:E110)=D$92,F110,D$92-SUM(E$99:E110))</f>
        <v>27951.589999999997</v>
      </c>
      <c r="E111" s="354">
        <f t="shared" si="30"/>
        <v>901</v>
      </c>
      <c r="F111" s="466">
        <f t="shared" si="31"/>
        <v>27050.589999999997</v>
      </c>
      <c r="G111" s="466">
        <f t="shared" si="32"/>
        <v>27501.089999999997</v>
      </c>
      <c r="H111" s="494">
        <f t="shared" si="33"/>
        <v>3865.9267739573547</v>
      </c>
      <c r="I111" s="495">
        <f t="shared" si="34"/>
        <v>3865.9267739573547</v>
      </c>
      <c r="J111" s="446">
        <f t="shared" si="22"/>
        <v>0</v>
      </c>
      <c r="K111" s="446"/>
      <c r="L111" s="115"/>
      <c r="M111" s="446">
        <f t="shared" si="19"/>
        <v>0</v>
      </c>
      <c r="N111" s="115"/>
      <c r="O111" s="446">
        <f t="shared" si="20"/>
        <v>0</v>
      </c>
      <c r="P111" s="446">
        <f t="shared" si="21"/>
        <v>0</v>
      </c>
    </row>
    <row r="112" spans="1:16">
      <c r="B112" s="7" t="str">
        <f t="shared" si="26"/>
        <v/>
      </c>
      <c r="C112" s="464">
        <f>IF(D93="","-",+C111+1)</f>
        <v>2035</v>
      </c>
      <c r="D112" s="465">
        <f>IF(F111+SUM(E$99:E111)=D$92,F111,D$92-SUM(E$99:E111))</f>
        <v>27050.589999999997</v>
      </c>
      <c r="E112" s="354">
        <f t="shared" si="30"/>
        <v>901</v>
      </c>
      <c r="F112" s="466">
        <f t="shared" si="31"/>
        <v>26149.589999999997</v>
      </c>
      <c r="G112" s="466">
        <f t="shared" si="32"/>
        <v>26600.089999999997</v>
      </c>
      <c r="H112" s="494">
        <f t="shared" si="33"/>
        <v>3768.7888414850208</v>
      </c>
      <c r="I112" s="495">
        <f t="shared" si="34"/>
        <v>3768.7888414850208</v>
      </c>
      <c r="J112" s="446">
        <f t="shared" si="22"/>
        <v>0</v>
      </c>
      <c r="K112" s="446"/>
      <c r="L112" s="115"/>
      <c r="M112" s="446">
        <f t="shared" si="19"/>
        <v>0</v>
      </c>
      <c r="N112" s="115"/>
      <c r="O112" s="446">
        <f t="shared" si="20"/>
        <v>0</v>
      </c>
      <c r="P112" s="446">
        <f t="shared" si="21"/>
        <v>0</v>
      </c>
    </row>
    <row r="113" spans="2:16">
      <c r="B113" s="7" t="str">
        <f t="shared" si="26"/>
        <v/>
      </c>
      <c r="C113" s="464">
        <f>IF(D93="","-",+C112+1)</f>
        <v>2036</v>
      </c>
      <c r="D113" s="465">
        <f>IF(F112+SUM(E$99:E112)=D$92,F112,D$92-SUM(E$99:E112))</f>
        <v>26149.589999999997</v>
      </c>
      <c r="E113" s="354">
        <f t="shared" si="30"/>
        <v>901</v>
      </c>
      <c r="F113" s="466">
        <f t="shared" si="31"/>
        <v>25248.589999999997</v>
      </c>
      <c r="G113" s="466">
        <f t="shared" si="32"/>
        <v>25699.089999999997</v>
      </c>
      <c r="H113" s="494">
        <f t="shared" si="33"/>
        <v>3671.650909012687</v>
      </c>
      <c r="I113" s="495">
        <f t="shared" si="34"/>
        <v>3671.650909012687</v>
      </c>
      <c r="J113" s="446">
        <f t="shared" si="22"/>
        <v>0</v>
      </c>
      <c r="K113" s="446"/>
      <c r="L113" s="115"/>
      <c r="M113" s="446">
        <f t="shared" si="19"/>
        <v>0</v>
      </c>
      <c r="N113" s="115"/>
      <c r="O113" s="446">
        <f t="shared" si="20"/>
        <v>0</v>
      </c>
      <c r="P113" s="446">
        <f t="shared" si="21"/>
        <v>0</v>
      </c>
    </row>
    <row r="114" spans="2:16">
      <c r="B114" s="7" t="str">
        <f t="shared" si="26"/>
        <v/>
      </c>
      <c r="C114" s="464">
        <f>IF(D93="","-",+C113+1)</f>
        <v>2037</v>
      </c>
      <c r="D114" s="465">
        <f>IF(F113+SUM(E$99:E113)=D$92,F113,D$92-SUM(E$99:E113))</f>
        <v>25248.589999999997</v>
      </c>
      <c r="E114" s="354">
        <f t="shared" si="30"/>
        <v>901</v>
      </c>
      <c r="F114" s="466">
        <f t="shared" si="31"/>
        <v>24347.589999999997</v>
      </c>
      <c r="G114" s="466">
        <f t="shared" si="32"/>
        <v>24798.089999999997</v>
      </c>
      <c r="H114" s="494">
        <f t="shared" si="33"/>
        <v>3574.5129765403531</v>
      </c>
      <c r="I114" s="495">
        <f t="shared" si="34"/>
        <v>3574.5129765403531</v>
      </c>
      <c r="J114" s="446">
        <f t="shared" si="22"/>
        <v>0</v>
      </c>
      <c r="K114" s="446"/>
      <c r="L114" s="115"/>
      <c r="M114" s="446">
        <f t="shared" si="19"/>
        <v>0</v>
      </c>
      <c r="N114" s="115"/>
      <c r="O114" s="446">
        <f t="shared" si="20"/>
        <v>0</v>
      </c>
      <c r="P114" s="446">
        <f t="shared" si="21"/>
        <v>0</v>
      </c>
    </row>
    <row r="115" spans="2:16">
      <c r="B115" s="7" t="str">
        <f t="shared" si="26"/>
        <v/>
      </c>
      <c r="C115" s="464">
        <f>IF(D93="","-",+C114+1)</f>
        <v>2038</v>
      </c>
      <c r="D115" s="465">
        <f>IF(F114+SUM(E$99:E114)=D$92,F114,D$92-SUM(E$99:E114))</f>
        <v>24347.589999999997</v>
      </c>
      <c r="E115" s="354">
        <f t="shared" si="30"/>
        <v>901</v>
      </c>
      <c r="F115" s="466">
        <f t="shared" si="31"/>
        <v>23446.589999999997</v>
      </c>
      <c r="G115" s="466">
        <f t="shared" si="32"/>
        <v>23897.089999999997</v>
      </c>
      <c r="H115" s="494">
        <f t="shared" si="33"/>
        <v>3477.3750440680192</v>
      </c>
      <c r="I115" s="495">
        <f t="shared" si="34"/>
        <v>3477.3750440680192</v>
      </c>
      <c r="J115" s="446">
        <f t="shared" si="22"/>
        <v>0</v>
      </c>
      <c r="K115" s="446"/>
      <c r="L115" s="115"/>
      <c r="M115" s="446">
        <f t="shared" si="19"/>
        <v>0</v>
      </c>
      <c r="N115" s="115"/>
      <c r="O115" s="446">
        <f t="shared" si="20"/>
        <v>0</v>
      </c>
      <c r="P115" s="446">
        <f t="shared" si="21"/>
        <v>0</v>
      </c>
    </row>
    <row r="116" spans="2:16">
      <c r="B116" s="7" t="str">
        <f t="shared" si="26"/>
        <v/>
      </c>
      <c r="C116" s="464">
        <f>IF(D93="","-",+C115+1)</f>
        <v>2039</v>
      </c>
      <c r="D116" s="465">
        <f>IF(F115+SUM(E$99:E115)=D$92,F115,D$92-SUM(E$99:E115))</f>
        <v>23446.589999999997</v>
      </c>
      <c r="E116" s="354">
        <f t="shared" si="30"/>
        <v>901</v>
      </c>
      <c r="F116" s="466">
        <f t="shared" si="31"/>
        <v>22545.589999999997</v>
      </c>
      <c r="G116" s="466">
        <f t="shared" si="32"/>
        <v>22996.089999999997</v>
      </c>
      <c r="H116" s="494">
        <f t="shared" si="33"/>
        <v>3380.2371115956853</v>
      </c>
      <c r="I116" s="495">
        <f t="shared" si="34"/>
        <v>3380.2371115956853</v>
      </c>
      <c r="J116" s="446">
        <f t="shared" si="22"/>
        <v>0</v>
      </c>
      <c r="K116" s="446"/>
      <c r="L116" s="115"/>
      <c r="M116" s="446">
        <f t="shared" si="19"/>
        <v>0</v>
      </c>
      <c r="N116" s="115"/>
      <c r="O116" s="446">
        <f t="shared" si="20"/>
        <v>0</v>
      </c>
      <c r="P116" s="446">
        <f t="shared" si="21"/>
        <v>0</v>
      </c>
    </row>
    <row r="117" spans="2:16">
      <c r="B117" s="7" t="str">
        <f t="shared" si="26"/>
        <v/>
      </c>
      <c r="C117" s="464">
        <f>IF(D93="","-",+C116+1)</f>
        <v>2040</v>
      </c>
      <c r="D117" s="465">
        <f>IF(F116+SUM(E$99:E116)=D$92,F116,D$92-SUM(E$99:E116))</f>
        <v>22545.589999999997</v>
      </c>
      <c r="E117" s="354">
        <f t="shared" si="30"/>
        <v>901</v>
      </c>
      <c r="F117" s="466">
        <f t="shared" si="31"/>
        <v>21644.589999999997</v>
      </c>
      <c r="G117" s="466">
        <f t="shared" si="32"/>
        <v>22095.089999999997</v>
      </c>
      <c r="H117" s="494">
        <f t="shared" si="33"/>
        <v>3283.0991791233514</v>
      </c>
      <c r="I117" s="495">
        <f t="shared" si="34"/>
        <v>3283.0991791233514</v>
      </c>
      <c r="J117" s="446">
        <f t="shared" si="22"/>
        <v>0</v>
      </c>
      <c r="K117" s="446"/>
      <c r="L117" s="115"/>
      <c r="M117" s="446">
        <f t="shared" si="19"/>
        <v>0</v>
      </c>
      <c r="N117" s="115"/>
      <c r="O117" s="446">
        <f t="shared" si="20"/>
        <v>0</v>
      </c>
      <c r="P117" s="446">
        <f t="shared" si="21"/>
        <v>0</v>
      </c>
    </row>
    <row r="118" spans="2:16">
      <c r="B118" s="7" t="str">
        <f t="shared" si="26"/>
        <v/>
      </c>
      <c r="C118" s="464">
        <f>IF(D93="","-",+C117+1)</f>
        <v>2041</v>
      </c>
      <c r="D118" s="465">
        <f>IF(F117+SUM(E$99:E117)=D$92,F117,D$92-SUM(E$99:E117))</f>
        <v>21644.589999999997</v>
      </c>
      <c r="E118" s="354">
        <f t="shared" si="30"/>
        <v>901</v>
      </c>
      <c r="F118" s="466">
        <f t="shared" si="31"/>
        <v>20743.589999999997</v>
      </c>
      <c r="G118" s="466">
        <f t="shared" si="32"/>
        <v>21194.089999999997</v>
      </c>
      <c r="H118" s="494">
        <f t="shared" si="33"/>
        <v>3185.9612466510175</v>
      </c>
      <c r="I118" s="495">
        <f t="shared" si="34"/>
        <v>3185.9612466510175</v>
      </c>
      <c r="J118" s="446">
        <f t="shared" si="22"/>
        <v>0</v>
      </c>
      <c r="K118" s="446"/>
      <c r="L118" s="115"/>
      <c r="M118" s="446">
        <f t="shared" si="19"/>
        <v>0</v>
      </c>
      <c r="N118" s="115"/>
      <c r="O118" s="446">
        <f t="shared" si="20"/>
        <v>0</v>
      </c>
      <c r="P118" s="446">
        <f t="shared" si="21"/>
        <v>0</v>
      </c>
    </row>
    <row r="119" spans="2:16">
      <c r="B119" s="7" t="str">
        <f t="shared" si="26"/>
        <v/>
      </c>
      <c r="C119" s="464">
        <f>IF(D93="","-",+C118+1)</f>
        <v>2042</v>
      </c>
      <c r="D119" s="465">
        <f>IF(F118+SUM(E$99:E118)=D$92,F118,D$92-SUM(E$99:E118))</f>
        <v>20743.589999999997</v>
      </c>
      <c r="E119" s="354">
        <f t="shared" si="30"/>
        <v>901</v>
      </c>
      <c r="F119" s="466">
        <f t="shared" si="31"/>
        <v>19842.589999999997</v>
      </c>
      <c r="G119" s="466">
        <f t="shared" si="32"/>
        <v>20293.089999999997</v>
      </c>
      <c r="H119" s="494">
        <f t="shared" si="33"/>
        <v>3088.8233141786836</v>
      </c>
      <c r="I119" s="495">
        <f t="shared" si="34"/>
        <v>3088.8233141786836</v>
      </c>
      <c r="J119" s="446">
        <f t="shared" si="22"/>
        <v>0</v>
      </c>
      <c r="K119" s="446"/>
      <c r="L119" s="115"/>
      <c r="M119" s="446">
        <f t="shared" si="19"/>
        <v>0</v>
      </c>
      <c r="N119" s="115"/>
      <c r="O119" s="446">
        <f t="shared" si="20"/>
        <v>0</v>
      </c>
      <c r="P119" s="446">
        <f t="shared" si="21"/>
        <v>0</v>
      </c>
    </row>
    <row r="120" spans="2:16">
      <c r="B120" s="7" t="str">
        <f t="shared" si="26"/>
        <v/>
      </c>
      <c r="C120" s="464">
        <f>IF(D93="","-",+C119+1)</f>
        <v>2043</v>
      </c>
      <c r="D120" s="465">
        <f>IF(F119+SUM(E$99:E119)=D$92,F119,D$92-SUM(E$99:E119))</f>
        <v>19842.589999999997</v>
      </c>
      <c r="E120" s="354">
        <f t="shared" si="30"/>
        <v>901</v>
      </c>
      <c r="F120" s="466">
        <f t="shared" si="31"/>
        <v>18941.589999999997</v>
      </c>
      <c r="G120" s="466">
        <f t="shared" si="32"/>
        <v>19392.089999999997</v>
      </c>
      <c r="H120" s="494">
        <f t="shared" si="33"/>
        <v>2991.6853817063497</v>
      </c>
      <c r="I120" s="495">
        <f t="shared" si="34"/>
        <v>2991.6853817063497</v>
      </c>
      <c r="J120" s="446">
        <f t="shared" si="22"/>
        <v>0</v>
      </c>
      <c r="K120" s="446"/>
      <c r="L120" s="115"/>
      <c r="M120" s="446">
        <f t="shared" si="19"/>
        <v>0</v>
      </c>
      <c r="N120" s="115"/>
      <c r="O120" s="446">
        <f t="shared" si="20"/>
        <v>0</v>
      </c>
      <c r="P120" s="446">
        <f t="shared" si="21"/>
        <v>0</v>
      </c>
    </row>
    <row r="121" spans="2:16">
      <c r="B121" s="7" t="str">
        <f t="shared" si="26"/>
        <v/>
      </c>
      <c r="C121" s="464">
        <f>IF(D93="","-",+C120+1)</f>
        <v>2044</v>
      </c>
      <c r="D121" s="465">
        <f>IF(F120+SUM(E$99:E120)=D$92,F120,D$92-SUM(E$99:E120))</f>
        <v>18941.589999999997</v>
      </c>
      <c r="E121" s="354">
        <f t="shared" si="30"/>
        <v>901</v>
      </c>
      <c r="F121" s="466">
        <f t="shared" si="31"/>
        <v>18040.589999999997</v>
      </c>
      <c r="G121" s="466">
        <f t="shared" si="32"/>
        <v>18491.089999999997</v>
      </c>
      <c r="H121" s="494">
        <f t="shared" si="33"/>
        <v>2894.5474492340154</v>
      </c>
      <c r="I121" s="495">
        <f t="shared" si="34"/>
        <v>2894.5474492340154</v>
      </c>
      <c r="J121" s="446">
        <f t="shared" si="22"/>
        <v>0</v>
      </c>
      <c r="K121" s="446"/>
      <c r="L121" s="115"/>
      <c r="M121" s="446">
        <f t="shared" si="19"/>
        <v>0</v>
      </c>
      <c r="N121" s="115"/>
      <c r="O121" s="446">
        <f t="shared" si="20"/>
        <v>0</v>
      </c>
      <c r="P121" s="446">
        <f t="shared" si="21"/>
        <v>0</v>
      </c>
    </row>
    <row r="122" spans="2:16">
      <c r="B122" s="7" t="str">
        <f t="shared" si="26"/>
        <v/>
      </c>
      <c r="C122" s="464">
        <f>IF(D93="","-",+C121+1)</f>
        <v>2045</v>
      </c>
      <c r="D122" s="465">
        <f>IF(F121+SUM(E$99:E121)=D$92,F121,D$92-SUM(E$99:E121))</f>
        <v>18040.589999999997</v>
      </c>
      <c r="E122" s="354">
        <f t="shared" si="30"/>
        <v>901</v>
      </c>
      <c r="F122" s="466">
        <f t="shared" si="31"/>
        <v>17139.589999999997</v>
      </c>
      <c r="G122" s="466">
        <f t="shared" si="32"/>
        <v>17590.089999999997</v>
      </c>
      <c r="H122" s="494">
        <f t="shared" si="33"/>
        <v>2797.4095167616815</v>
      </c>
      <c r="I122" s="495">
        <f t="shared" si="34"/>
        <v>2797.4095167616815</v>
      </c>
      <c r="J122" s="446">
        <f t="shared" si="22"/>
        <v>0</v>
      </c>
      <c r="K122" s="446"/>
      <c r="L122" s="115"/>
      <c r="M122" s="446">
        <f t="shared" si="19"/>
        <v>0</v>
      </c>
      <c r="N122" s="115"/>
      <c r="O122" s="446">
        <f t="shared" si="20"/>
        <v>0</v>
      </c>
      <c r="P122" s="446">
        <f t="shared" si="21"/>
        <v>0</v>
      </c>
    </row>
    <row r="123" spans="2:16">
      <c r="B123" s="7" t="str">
        <f t="shared" si="26"/>
        <v/>
      </c>
      <c r="C123" s="464">
        <f>IF(D93="","-",+C122+1)</f>
        <v>2046</v>
      </c>
      <c r="D123" s="465">
        <f>IF(F122+SUM(E$99:E122)=D$92,F122,D$92-SUM(E$99:E122))</f>
        <v>17139.589999999997</v>
      </c>
      <c r="E123" s="354">
        <f t="shared" si="30"/>
        <v>901</v>
      </c>
      <c r="F123" s="466">
        <f t="shared" si="31"/>
        <v>16238.589999999997</v>
      </c>
      <c r="G123" s="466">
        <f t="shared" si="32"/>
        <v>16689.089999999997</v>
      </c>
      <c r="H123" s="494">
        <f t="shared" si="33"/>
        <v>2700.2715842893476</v>
      </c>
      <c r="I123" s="495">
        <f t="shared" si="34"/>
        <v>2700.2715842893476</v>
      </c>
      <c r="J123" s="446">
        <f t="shared" si="22"/>
        <v>0</v>
      </c>
      <c r="K123" s="446"/>
      <c r="L123" s="115"/>
      <c r="M123" s="446">
        <f t="shared" si="19"/>
        <v>0</v>
      </c>
      <c r="N123" s="115"/>
      <c r="O123" s="446">
        <f t="shared" si="20"/>
        <v>0</v>
      </c>
      <c r="P123" s="446">
        <f t="shared" si="21"/>
        <v>0</v>
      </c>
    </row>
    <row r="124" spans="2:16">
      <c r="B124" s="7" t="str">
        <f t="shared" si="26"/>
        <v/>
      </c>
      <c r="C124" s="464">
        <f>IF(D93="","-",+C123+1)</f>
        <v>2047</v>
      </c>
      <c r="D124" s="465">
        <f>IF(F123+SUM(E$99:E123)=D$92,F123,D$92-SUM(E$99:E123))</f>
        <v>16238.589999999997</v>
      </c>
      <c r="E124" s="354">
        <f t="shared" si="30"/>
        <v>901</v>
      </c>
      <c r="F124" s="466">
        <f t="shared" si="31"/>
        <v>15337.589999999997</v>
      </c>
      <c r="G124" s="466">
        <f t="shared" si="32"/>
        <v>15788.089999999997</v>
      </c>
      <c r="H124" s="494">
        <f t="shared" si="33"/>
        <v>2603.1336518170137</v>
      </c>
      <c r="I124" s="495">
        <f t="shared" si="34"/>
        <v>2603.1336518170137</v>
      </c>
      <c r="J124" s="446">
        <f t="shared" si="22"/>
        <v>0</v>
      </c>
      <c r="K124" s="446"/>
      <c r="L124" s="115"/>
      <c r="M124" s="446">
        <f t="shared" si="19"/>
        <v>0</v>
      </c>
      <c r="N124" s="115"/>
      <c r="O124" s="446">
        <f t="shared" si="20"/>
        <v>0</v>
      </c>
      <c r="P124" s="446">
        <f t="shared" si="21"/>
        <v>0</v>
      </c>
    </row>
    <row r="125" spans="2:16">
      <c r="B125" s="7" t="str">
        <f t="shared" si="26"/>
        <v/>
      </c>
      <c r="C125" s="464">
        <f>IF(D93="","-",+C124+1)</f>
        <v>2048</v>
      </c>
      <c r="D125" s="465">
        <f>IF(F124+SUM(E$99:E124)=D$92,F124,D$92-SUM(E$99:E124))</f>
        <v>15337.589999999997</v>
      </c>
      <c r="E125" s="354">
        <f t="shared" si="30"/>
        <v>901</v>
      </c>
      <c r="F125" s="466">
        <f t="shared" si="31"/>
        <v>14436.589999999997</v>
      </c>
      <c r="G125" s="466">
        <f t="shared" si="32"/>
        <v>14887.089999999997</v>
      </c>
      <c r="H125" s="494">
        <f t="shared" si="33"/>
        <v>2505.9957193446799</v>
      </c>
      <c r="I125" s="495">
        <f t="shared" si="34"/>
        <v>2505.9957193446799</v>
      </c>
      <c r="J125" s="446">
        <f t="shared" si="22"/>
        <v>0</v>
      </c>
      <c r="K125" s="446"/>
      <c r="L125" s="115"/>
      <c r="M125" s="446">
        <f t="shared" si="19"/>
        <v>0</v>
      </c>
      <c r="N125" s="115"/>
      <c r="O125" s="446">
        <f t="shared" si="20"/>
        <v>0</v>
      </c>
      <c r="P125" s="446">
        <f t="shared" si="21"/>
        <v>0</v>
      </c>
    </row>
    <row r="126" spans="2:16">
      <c r="B126" s="7" t="str">
        <f t="shared" si="26"/>
        <v/>
      </c>
      <c r="C126" s="464">
        <f>IF(D93="","-",+C125+1)</f>
        <v>2049</v>
      </c>
      <c r="D126" s="465">
        <f>IF(F125+SUM(E$99:E125)=D$92,F125,D$92-SUM(E$99:E125))</f>
        <v>14436.589999999997</v>
      </c>
      <c r="E126" s="354">
        <f t="shared" si="30"/>
        <v>901</v>
      </c>
      <c r="F126" s="466">
        <f t="shared" si="31"/>
        <v>13535.589999999997</v>
      </c>
      <c r="G126" s="466">
        <f t="shared" si="32"/>
        <v>13986.089999999997</v>
      </c>
      <c r="H126" s="494">
        <f t="shared" si="33"/>
        <v>2408.857786872346</v>
      </c>
      <c r="I126" s="495">
        <f t="shared" si="34"/>
        <v>2408.857786872346</v>
      </c>
      <c r="J126" s="446">
        <f t="shared" si="22"/>
        <v>0</v>
      </c>
      <c r="K126" s="446"/>
      <c r="L126" s="115"/>
      <c r="M126" s="446">
        <f t="shared" si="19"/>
        <v>0</v>
      </c>
      <c r="N126" s="115"/>
      <c r="O126" s="446">
        <f t="shared" si="20"/>
        <v>0</v>
      </c>
      <c r="P126" s="446">
        <f t="shared" si="21"/>
        <v>0</v>
      </c>
    </row>
    <row r="127" spans="2:16">
      <c r="B127" s="7" t="str">
        <f t="shared" si="26"/>
        <v/>
      </c>
      <c r="C127" s="464">
        <f>IF(D93="","-",+C126+1)</f>
        <v>2050</v>
      </c>
      <c r="D127" s="465">
        <f>IF(F126+SUM(E$99:E126)=D$92,F126,D$92-SUM(E$99:E126))</f>
        <v>13535.589999999997</v>
      </c>
      <c r="E127" s="354">
        <f t="shared" si="30"/>
        <v>901</v>
      </c>
      <c r="F127" s="466">
        <f t="shared" si="31"/>
        <v>12634.589999999997</v>
      </c>
      <c r="G127" s="466">
        <f t="shared" si="32"/>
        <v>13085.089999999997</v>
      </c>
      <c r="H127" s="494">
        <f t="shared" si="33"/>
        <v>2311.7198544000121</v>
      </c>
      <c r="I127" s="495">
        <f t="shared" si="34"/>
        <v>2311.7198544000121</v>
      </c>
      <c r="J127" s="446">
        <f t="shared" si="22"/>
        <v>0</v>
      </c>
      <c r="K127" s="446"/>
      <c r="L127" s="115"/>
      <c r="M127" s="446">
        <f t="shared" si="19"/>
        <v>0</v>
      </c>
      <c r="N127" s="115"/>
      <c r="O127" s="446">
        <f t="shared" si="20"/>
        <v>0</v>
      </c>
      <c r="P127" s="446">
        <f t="shared" si="21"/>
        <v>0</v>
      </c>
    </row>
    <row r="128" spans="2:16">
      <c r="B128" s="7" t="str">
        <f t="shared" si="26"/>
        <v/>
      </c>
      <c r="C128" s="464">
        <f>IF(D93="","-",+C127+1)</f>
        <v>2051</v>
      </c>
      <c r="D128" s="465">
        <f>IF(F127+SUM(E$99:E127)=D$92,F127,D$92-SUM(E$99:E127))</f>
        <v>12634.589999999997</v>
      </c>
      <c r="E128" s="354">
        <f t="shared" si="30"/>
        <v>901</v>
      </c>
      <c r="F128" s="466">
        <f t="shared" si="31"/>
        <v>11733.589999999997</v>
      </c>
      <c r="G128" s="466">
        <f t="shared" si="32"/>
        <v>12184.089999999997</v>
      </c>
      <c r="H128" s="494">
        <f t="shared" si="33"/>
        <v>2214.5819219276782</v>
      </c>
      <c r="I128" s="495">
        <f t="shared" si="34"/>
        <v>2214.5819219276782</v>
      </c>
      <c r="J128" s="446">
        <f t="shared" si="22"/>
        <v>0</v>
      </c>
      <c r="K128" s="446"/>
      <c r="L128" s="115"/>
      <c r="M128" s="446">
        <f t="shared" si="19"/>
        <v>0</v>
      </c>
      <c r="N128" s="115"/>
      <c r="O128" s="446">
        <f t="shared" si="20"/>
        <v>0</v>
      </c>
      <c r="P128" s="446">
        <f t="shared" si="21"/>
        <v>0</v>
      </c>
    </row>
    <row r="129" spans="2:16">
      <c r="B129" s="7" t="str">
        <f t="shared" si="26"/>
        <v/>
      </c>
      <c r="C129" s="464">
        <f>IF(D93="","-",+C128+1)</f>
        <v>2052</v>
      </c>
      <c r="D129" s="465">
        <f>IF(F128+SUM(E$99:E128)=D$92,F128,D$92-SUM(E$99:E128))</f>
        <v>11733.589999999997</v>
      </c>
      <c r="E129" s="354">
        <f t="shared" si="30"/>
        <v>901</v>
      </c>
      <c r="F129" s="466">
        <f t="shared" si="31"/>
        <v>10832.589999999997</v>
      </c>
      <c r="G129" s="466">
        <f t="shared" si="32"/>
        <v>11283.089999999997</v>
      </c>
      <c r="H129" s="494">
        <f t="shared" si="33"/>
        <v>2117.4439894553443</v>
      </c>
      <c r="I129" s="495">
        <f t="shared" si="34"/>
        <v>2117.4439894553443</v>
      </c>
      <c r="J129" s="446">
        <f t="shared" si="22"/>
        <v>0</v>
      </c>
      <c r="K129" s="446"/>
      <c r="L129" s="115"/>
      <c r="M129" s="446">
        <f t="shared" si="19"/>
        <v>0</v>
      </c>
      <c r="N129" s="115"/>
      <c r="O129" s="446">
        <f t="shared" si="20"/>
        <v>0</v>
      </c>
      <c r="P129" s="446">
        <f t="shared" si="21"/>
        <v>0</v>
      </c>
    </row>
    <row r="130" spans="2:16">
      <c r="B130" s="7" t="str">
        <f t="shared" si="26"/>
        <v/>
      </c>
      <c r="C130" s="464">
        <f>IF(D93="","-",+C129+1)</f>
        <v>2053</v>
      </c>
      <c r="D130" s="465">
        <f>IF(F129+SUM(E$99:E129)=D$92,F129,D$92-SUM(E$99:E129))</f>
        <v>10832.589999999997</v>
      </c>
      <c r="E130" s="354">
        <f t="shared" si="30"/>
        <v>901</v>
      </c>
      <c r="F130" s="466">
        <f t="shared" si="31"/>
        <v>9931.5899999999965</v>
      </c>
      <c r="G130" s="466">
        <f t="shared" si="32"/>
        <v>10382.089999999997</v>
      </c>
      <c r="H130" s="494">
        <f t="shared" si="33"/>
        <v>2020.3060569830106</v>
      </c>
      <c r="I130" s="495">
        <f t="shared" si="34"/>
        <v>2020.3060569830106</v>
      </c>
      <c r="J130" s="446">
        <f t="shared" si="22"/>
        <v>0</v>
      </c>
      <c r="K130" s="446"/>
      <c r="L130" s="115"/>
      <c r="M130" s="446">
        <f t="shared" si="19"/>
        <v>0</v>
      </c>
      <c r="N130" s="115"/>
      <c r="O130" s="446">
        <f t="shared" si="20"/>
        <v>0</v>
      </c>
      <c r="P130" s="446">
        <f t="shared" si="21"/>
        <v>0</v>
      </c>
    </row>
    <row r="131" spans="2:16">
      <c r="B131" s="7" t="str">
        <f t="shared" si="26"/>
        <v/>
      </c>
      <c r="C131" s="464">
        <f>IF(D93="","-",+C130+1)</f>
        <v>2054</v>
      </c>
      <c r="D131" s="465">
        <f>IF(F130+SUM(E$99:E130)=D$92,F130,D$92-SUM(E$99:E130))</f>
        <v>9931.5899999999965</v>
      </c>
      <c r="E131" s="354">
        <f t="shared" si="30"/>
        <v>901</v>
      </c>
      <c r="F131" s="466">
        <f t="shared" si="31"/>
        <v>9030.5899999999965</v>
      </c>
      <c r="G131" s="466">
        <f t="shared" si="32"/>
        <v>9481.0899999999965</v>
      </c>
      <c r="H131" s="494">
        <f t="shared" si="33"/>
        <v>1923.1681245106768</v>
      </c>
      <c r="I131" s="495">
        <f t="shared" si="34"/>
        <v>1923.1681245106768</v>
      </c>
      <c r="J131" s="446">
        <f t="shared" ref="J131:J154" si="35">+I541-H541</f>
        <v>0</v>
      </c>
      <c r="K131" s="446"/>
      <c r="L131" s="115"/>
      <c r="M131" s="446">
        <f t="shared" ref="M131:M154" si="36">IF(L541&lt;&gt;0,+H541-L541,0)</f>
        <v>0</v>
      </c>
      <c r="N131" s="115"/>
      <c r="O131" s="446">
        <f t="shared" ref="O131:O154" si="37">IF(N541&lt;&gt;0,+I541-N541,0)</f>
        <v>0</v>
      </c>
      <c r="P131" s="446">
        <f t="shared" ref="P131:P154" si="38">+O541-M541</f>
        <v>0</v>
      </c>
    </row>
    <row r="132" spans="2:16">
      <c r="B132" s="7" t="str">
        <f t="shared" si="26"/>
        <v/>
      </c>
      <c r="C132" s="464">
        <f>IF(D93="","-",+C131+1)</f>
        <v>2055</v>
      </c>
      <c r="D132" s="465">
        <f>IF(F131+SUM(E$99:E131)=D$92,F131,D$92-SUM(E$99:E131))</f>
        <v>9030.5899999999965</v>
      </c>
      <c r="E132" s="354">
        <f t="shared" si="30"/>
        <v>901</v>
      </c>
      <c r="F132" s="466">
        <f t="shared" si="31"/>
        <v>8129.5899999999965</v>
      </c>
      <c r="G132" s="466">
        <f t="shared" si="32"/>
        <v>8580.0899999999965</v>
      </c>
      <c r="H132" s="494">
        <f t="shared" si="33"/>
        <v>1826.0301920383429</v>
      </c>
      <c r="I132" s="495">
        <f t="shared" si="34"/>
        <v>1826.0301920383429</v>
      </c>
      <c r="J132" s="446">
        <f t="shared" si="35"/>
        <v>0</v>
      </c>
      <c r="K132" s="446"/>
      <c r="L132" s="115"/>
      <c r="M132" s="446">
        <f t="shared" si="36"/>
        <v>0</v>
      </c>
      <c r="N132" s="115"/>
      <c r="O132" s="446">
        <f t="shared" si="37"/>
        <v>0</v>
      </c>
      <c r="P132" s="446">
        <f t="shared" si="38"/>
        <v>0</v>
      </c>
    </row>
    <row r="133" spans="2:16">
      <c r="B133" s="7" t="str">
        <f t="shared" si="26"/>
        <v/>
      </c>
      <c r="C133" s="464">
        <f>IF(D93="","-",+C132+1)</f>
        <v>2056</v>
      </c>
      <c r="D133" s="465">
        <f>IF(F132+SUM(E$99:E132)=D$92,F132,D$92-SUM(E$99:E132))</f>
        <v>8129.5899999999965</v>
      </c>
      <c r="E133" s="354">
        <f t="shared" si="30"/>
        <v>901</v>
      </c>
      <c r="F133" s="466">
        <f t="shared" si="31"/>
        <v>7228.5899999999965</v>
      </c>
      <c r="G133" s="466">
        <f t="shared" si="32"/>
        <v>7679.0899999999965</v>
      </c>
      <c r="H133" s="494">
        <f t="shared" si="33"/>
        <v>1728.892259566009</v>
      </c>
      <c r="I133" s="495">
        <f t="shared" si="34"/>
        <v>1728.892259566009</v>
      </c>
      <c r="J133" s="446">
        <f t="shared" si="35"/>
        <v>0</v>
      </c>
      <c r="K133" s="446"/>
      <c r="L133" s="115"/>
      <c r="M133" s="446">
        <f t="shared" si="36"/>
        <v>0</v>
      </c>
      <c r="N133" s="115"/>
      <c r="O133" s="446">
        <f t="shared" si="37"/>
        <v>0</v>
      </c>
      <c r="P133" s="446">
        <f t="shared" si="38"/>
        <v>0</v>
      </c>
    </row>
    <row r="134" spans="2:16">
      <c r="B134" s="7" t="str">
        <f t="shared" si="26"/>
        <v/>
      </c>
      <c r="C134" s="464">
        <f>IF(D93="","-",+C133+1)</f>
        <v>2057</v>
      </c>
      <c r="D134" s="465">
        <f>IF(F133+SUM(E$99:E133)=D$92,F133,D$92-SUM(E$99:E133))</f>
        <v>7228.5899999999965</v>
      </c>
      <c r="E134" s="354">
        <f t="shared" si="30"/>
        <v>901</v>
      </c>
      <c r="F134" s="466">
        <f t="shared" si="31"/>
        <v>6327.5899999999965</v>
      </c>
      <c r="G134" s="466">
        <f t="shared" si="32"/>
        <v>6778.0899999999965</v>
      </c>
      <c r="H134" s="494">
        <f t="shared" si="33"/>
        <v>1631.7543270936751</v>
      </c>
      <c r="I134" s="495">
        <f t="shared" si="34"/>
        <v>1631.7543270936751</v>
      </c>
      <c r="J134" s="446">
        <f t="shared" si="35"/>
        <v>0</v>
      </c>
      <c r="K134" s="446"/>
      <c r="L134" s="115"/>
      <c r="M134" s="446">
        <f t="shared" si="36"/>
        <v>0</v>
      </c>
      <c r="N134" s="115"/>
      <c r="O134" s="446">
        <f t="shared" si="37"/>
        <v>0</v>
      </c>
      <c r="P134" s="446">
        <f t="shared" si="38"/>
        <v>0</v>
      </c>
    </row>
    <row r="135" spans="2:16">
      <c r="B135" s="7" t="str">
        <f t="shared" si="26"/>
        <v/>
      </c>
      <c r="C135" s="464">
        <f>IF(D93="","-",+C134+1)</f>
        <v>2058</v>
      </c>
      <c r="D135" s="465">
        <f>IF(F134+SUM(E$99:E134)=D$92,F134,D$92-SUM(E$99:E134))</f>
        <v>6327.5899999999965</v>
      </c>
      <c r="E135" s="354">
        <f t="shared" si="30"/>
        <v>901</v>
      </c>
      <c r="F135" s="466">
        <f t="shared" si="31"/>
        <v>5426.5899999999965</v>
      </c>
      <c r="G135" s="466">
        <f t="shared" si="32"/>
        <v>5877.0899999999965</v>
      </c>
      <c r="H135" s="494">
        <f t="shared" si="33"/>
        <v>1534.6163946213412</v>
      </c>
      <c r="I135" s="495">
        <f t="shared" si="34"/>
        <v>1534.6163946213412</v>
      </c>
      <c r="J135" s="446">
        <f t="shared" si="35"/>
        <v>0</v>
      </c>
      <c r="K135" s="446"/>
      <c r="L135" s="115"/>
      <c r="M135" s="446">
        <f t="shared" si="36"/>
        <v>0</v>
      </c>
      <c r="N135" s="115"/>
      <c r="O135" s="446">
        <f t="shared" si="37"/>
        <v>0</v>
      </c>
      <c r="P135" s="446">
        <f t="shared" si="38"/>
        <v>0</v>
      </c>
    </row>
    <row r="136" spans="2:16">
      <c r="B136" s="7" t="str">
        <f t="shared" si="26"/>
        <v/>
      </c>
      <c r="C136" s="464">
        <f>IF(D93="","-",+C135+1)</f>
        <v>2059</v>
      </c>
      <c r="D136" s="465">
        <f>IF(F135+SUM(E$99:E135)=D$92,F135,D$92-SUM(E$99:E135))</f>
        <v>5426.5899999999965</v>
      </c>
      <c r="E136" s="354">
        <f t="shared" si="30"/>
        <v>901</v>
      </c>
      <c r="F136" s="466">
        <f t="shared" si="31"/>
        <v>4525.5899999999965</v>
      </c>
      <c r="G136" s="466">
        <f t="shared" si="32"/>
        <v>4976.0899999999965</v>
      </c>
      <c r="H136" s="494">
        <f t="shared" si="33"/>
        <v>1437.4784621490073</v>
      </c>
      <c r="I136" s="495">
        <f t="shared" si="34"/>
        <v>1437.4784621490073</v>
      </c>
      <c r="J136" s="446">
        <f t="shared" si="35"/>
        <v>0</v>
      </c>
      <c r="K136" s="446"/>
      <c r="L136" s="115"/>
      <c r="M136" s="446">
        <f t="shared" si="36"/>
        <v>0</v>
      </c>
      <c r="N136" s="115"/>
      <c r="O136" s="446">
        <f t="shared" si="37"/>
        <v>0</v>
      </c>
      <c r="P136" s="446">
        <f t="shared" si="38"/>
        <v>0</v>
      </c>
    </row>
    <row r="137" spans="2:16">
      <c r="B137" s="7" t="str">
        <f t="shared" si="26"/>
        <v/>
      </c>
      <c r="C137" s="464">
        <f>IF(D93="","-",+C136+1)</f>
        <v>2060</v>
      </c>
      <c r="D137" s="465">
        <f>IF(F136+SUM(E$99:E136)=D$92,F136,D$92-SUM(E$99:E136))</f>
        <v>4525.5899999999965</v>
      </c>
      <c r="E137" s="354">
        <f t="shared" si="30"/>
        <v>901</v>
      </c>
      <c r="F137" s="466">
        <f t="shared" si="31"/>
        <v>3624.5899999999965</v>
      </c>
      <c r="G137" s="466">
        <f t="shared" si="32"/>
        <v>4075.0899999999965</v>
      </c>
      <c r="H137" s="494">
        <f t="shared" si="33"/>
        <v>1340.3405296766734</v>
      </c>
      <c r="I137" s="495">
        <f t="shared" si="34"/>
        <v>1340.3405296766734</v>
      </c>
      <c r="J137" s="446">
        <f t="shared" si="35"/>
        <v>0</v>
      </c>
      <c r="K137" s="446"/>
      <c r="L137" s="115"/>
      <c r="M137" s="446">
        <f t="shared" si="36"/>
        <v>0</v>
      </c>
      <c r="N137" s="115"/>
      <c r="O137" s="446">
        <f t="shared" si="37"/>
        <v>0</v>
      </c>
      <c r="P137" s="446">
        <f t="shared" si="38"/>
        <v>0</v>
      </c>
    </row>
    <row r="138" spans="2:16">
      <c r="B138" s="7" t="str">
        <f t="shared" si="26"/>
        <v/>
      </c>
      <c r="C138" s="464">
        <f>IF(D93="","-",+C137+1)</f>
        <v>2061</v>
      </c>
      <c r="D138" s="465">
        <f>IF(F137+SUM(E$99:E137)=D$92,F137,D$92-SUM(E$99:E137))</f>
        <v>3624.5899999999965</v>
      </c>
      <c r="E138" s="354">
        <f t="shared" si="30"/>
        <v>901</v>
      </c>
      <c r="F138" s="466">
        <f t="shared" si="31"/>
        <v>2723.5899999999965</v>
      </c>
      <c r="G138" s="466">
        <f t="shared" si="32"/>
        <v>3174.0899999999965</v>
      </c>
      <c r="H138" s="494">
        <f t="shared" si="33"/>
        <v>1243.2025972043396</v>
      </c>
      <c r="I138" s="495">
        <f t="shared" si="34"/>
        <v>1243.2025972043396</v>
      </c>
      <c r="J138" s="446">
        <f t="shared" si="35"/>
        <v>0</v>
      </c>
      <c r="K138" s="446"/>
      <c r="L138" s="115"/>
      <c r="M138" s="446">
        <f t="shared" si="36"/>
        <v>0</v>
      </c>
      <c r="N138" s="115"/>
      <c r="O138" s="446">
        <f t="shared" si="37"/>
        <v>0</v>
      </c>
      <c r="P138" s="446">
        <f t="shared" si="38"/>
        <v>0</v>
      </c>
    </row>
    <row r="139" spans="2:16">
      <c r="B139" s="7" t="str">
        <f t="shared" si="26"/>
        <v/>
      </c>
      <c r="C139" s="464">
        <f>IF(D93="","-",+C138+1)</f>
        <v>2062</v>
      </c>
      <c r="D139" s="465">
        <f>IF(F138+SUM(E$99:E138)=D$92,F138,D$92-SUM(E$99:E138))</f>
        <v>2723.5899999999965</v>
      </c>
      <c r="E139" s="354">
        <f t="shared" si="30"/>
        <v>901</v>
      </c>
      <c r="F139" s="466">
        <f t="shared" si="31"/>
        <v>1822.5899999999965</v>
      </c>
      <c r="G139" s="466">
        <f t="shared" si="32"/>
        <v>2273.0899999999965</v>
      </c>
      <c r="H139" s="494">
        <f t="shared" si="33"/>
        <v>1146.0646647320057</v>
      </c>
      <c r="I139" s="495">
        <f t="shared" si="34"/>
        <v>1146.0646647320057</v>
      </c>
      <c r="J139" s="446">
        <f t="shared" si="35"/>
        <v>0</v>
      </c>
      <c r="K139" s="446"/>
      <c r="L139" s="115"/>
      <c r="M139" s="446">
        <f t="shared" si="36"/>
        <v>0</v>
      </c>
      <c r="N139" s="115"/>
      <c r="O139" s="446">
        <f t="shared" si="37"/>
        <v>0</v>
      </c>
      <c r="P139" s="446">
        <f t="shared" si="38"/>
        <v>0</v>
      </c>
    </row>
    <row r="140" spans="2:16">
      <c r="B140" s="7" t="str">
        <f t="shared" si="26"/>
        <v/>
      </c>
      <c r="C140" s="464">
        <f>IF(D93="","-",+C139+1)</f>
        <v>2063</v>
      </c>
      <c r="D140" s="465">
        <f>IF(F139+SUM(E$99:E139)=D$92,F139,D$92-SUM(E$99:E139))</f>
        <v>1822.5899999999965</v>
      </c>
      <c r="E140" s="354">
        <f t="shared" si="30"/>
        <v>901</v>
      </c>
      <c r="F140" s="466">
        <f t="shared" si="31"/>
        <v>921.58999999999651</v>
      </c>
      <c r="G140" s="466">
        <f t="shared" si="32"/>
        <v>1372.0899999999965</v>
      </c>
      <c r="H140" s="494">
        <f t="shared" si="33"/>
        <v>1048.9267322596718</v>
      </c>
      <c r="I140" s="495">
        <f t="shared" si="34"/>
        <v>1048.9267322596718</v>
      </c>
      <c r="J140" s="446">
        <f t="shared" si="35"/>
        <v>0</v>
      </c>
      <c r="K140" s="446"/>
      <c r="L140" s="115"/>
      <c r="M140" s="446">
        <f t="shared" si="36"/>
        <v>0</v>
      </c>
      <c r="N140" s="115"/>
      <c r="O140" s="446">
        <f t="shared" si="37"/>
        <v>0</v>
      </c>
      <c r="P140" s="446">
        <f t="shared" si="38"/>
        <v>0</v>
      </c>
    </row>
    <row r="141" spans="2:16">
      <c r="B141" s="7" t="str">
        <f t="shared" si="26"/>
        <v/>
      </c>
      <c r="C141" s="464">
        <f>IF(D93="","-",+C140+1)</f>
        <v>2064</v>
      </c>
      <c r="D141" s="465">
        <f>IF(F140+SUM(E$99:E140)=D$92,F140,D$92-SUM(E$99:E140))</f>
        <v>921.58999999999651</v>
      </c>
      <c r="E141" s="354">
        <f t="shared" si="30"/>
        <v>901</v>
      </c>
      <c r="F141" s="466">
        <f t="shared" si="31"/>
        <v>20.589999999996508</v>
      </c>
      <c r="G141" s="466">
        <f t="shared" si="32"/>
        <v>471.08999999999651</v>
      </c>
      <c r="H141" s="494">
        <f t="shared" si="33"/>
        <v>951.78879978733789</v>
      </c>
      <c r="I141" s="495">
        <f t="shared" si="34"/>
        <v>951.78879978733789</v>
      </c>
      <c r="J141" s="446">
        <f t="shared" si="35"/>
        <v>0</v>
      </c>
      <c r="K141" s="446"/>
      <c r="L141" s="115"/>
      <c r="M141" s="446">
        <f t="shared" si="36"/>
        <v>0</v>
      </c>
      <c r="N141" s="115"/>
      <c r="O141" s="446">
        <f t="shared" si="37"/>
        <v>0</v>
      </c>
      <c r="P141" s="446">
        <f t="shared" si="38"/>
        <v>0</v>
      </c>
    </row>
    <row r="142" spans="2:16">
      <c r="B142" s="7" t="str">
        <f t="shared" si="26"/>
        <v/>
      </c>
      <c r="C142" s="464">
        <f>IF(D93="","-",+C141+1)</f>
        <v>2065</v>
      </c>
      <c r="D142" s="465">
        <f>IF(F141+SUM(E$99:E141)=D$92,F141,D$92-SUM(E$99:E141))</f>
        <v>20.589999999996508</v>
      </c>
      <c r="E142" s="354">
        <f t="shared" si="30"/>
        <v>20.589999999996508</v>
      </c>
      <c r="F142" s="466">
        <f t="shared" si="31"/>
        <v>0</v>
      </c>
      <c r="G142" s="466">
        <f t="shared" si="32"/>
        <v>10.294999999998254</v>
      </c>
      <c r="H142" s="494">
        <f t="shared" si="33"/>
        <v>21.699916775581976</v>
      </c>
      <c r="I142" s="495">
        <f t="shared" si="34"/>
        <v>21.699916775581976</v>
      </c>
      <c r="J142" s="446">
        <f t="shared" si="35"/>
        <v>0</v>
      </c>
      <c r="K142" s="446"/>
      <c r="L142" s="115"/>
      <c r="M142" s="446">
        <f t="shared" si="36"/>
        <v>0</v>
      </c>
      <c r="N142" s="115"/>
      <c r="O142" s="446">
        <f t="shared" si="37"/>
        <v>0</v>
      </c>
      <c r="P142" s="446">
        <f t="shared" si="38"/>
        <v>0</v>
      </c>
    </row>
    <row r="143" spans="2:16">
      <c r="B143" s="7" t="str">
        <f t="shared" si="26"/>
        <v/>
      </c>
      <c r="C143" s="464">
        <f>IF(D93="","-",+C142+1)</f>
        <v>2066</v>
      </c>
      <c r="D143" s="465">
        <f>IF(F142+SUM(E$99:E142)=D$92,F142,D$92-SUM(E$99:E142))</f>
        <v>0</v>
      </c>
      <c r="E143" s="354">
        <f t="shared" si="30"/>
        <v>0</v>
      </c>
      <c r="F143" s="466">
        <f t="shared" si="31"/>
        <v>0</v>
      </c>
      <c r="G143" s="466">
        <f t="shared" si="32"/>
        <v>0</v>
      </c>
      <c r="H143" s="494">
        <f t="shared" si="33"/>
        <v>0</v>
      </c>
      <c r="I143" s="495">
        <f t="shared" si="34"/>
        <v>0</v>
      </c>
      <c r="J143" s="446">
        <f t="shared" si="35"/>
        <v>0</v>
      </c>
      <c r="K143" s="446"/>
      <c r="L143" s="115"/>
      <c r="M143" s="446">
        <f t="shared" si="36"/>
        <v>0</v>
      </c>
      <c r="N143" s="115"/>
      <c r="O143" s="446">
        <f t="shared" si="37"/>
        <v>0</v>
      </c>
      <c r="P143" s="446">
        <f t="shared" si="38"/>
        <v>0</v>
      </c>
    </row>
    <row r="144" spans="2:16">
      <c r="B144" s="7" t="str">
        <f t="shared" si="26"/>
        <v/>
      </c>
      <c r="C144" s="464">
        <f>IF(D93="","-",+C143+1)</f>
        <v>2067</v>
      </c>
      <c r="D144" s="465">
        <f>IF(F143+SUM(E$99:E143)=D$92,F143,D$92-SUM(E$99:E143))</f>
        <v>0</v>
      </c>
      <c r="E144" s="354">
        <f t="shared" si="30"/>
        <v>0</v>
      </c>
      <c r="F144" s="466">
        <f t="shared" si="31"/>
        <v>0</v>
      </c>
      <c r="G144" s="466">
        <f t="shared" si="32"/>
        <v>0</v>
      </c>
      <c r="H144" s="494">
        <f t="shared" si="33"/>
        <v>0</v>
      </c>
      <c r="I144" s="495">
        <f t="shared" si="34"/>
        <v>0</v>
      </c>
      <c r="J144" s="446">
        <f t="shared" si="35"/>
        <v>0</v>
      </c>
      <c r="K144" s="446"/>
      <c r="L144" s="115"/>
      <c r="M144" s="446">
        <f t="shared" si="36"/>
        <v>0</v>
      </c>
      <c r="N144" s="115"/>
      <c r="O144" s="446">
        <f t="shared" si="37"/>
        <v>0</v>
      </c>
      <c r="P144" s="446">
        <f t="shared" si="38"/>
        <v>0</v>
      </c>
    </row>
    <row r="145" spans="2:16">
      <c r="B145" s="7" t="str">
        <f t="shared" si="26"/>
        <v/>
      </c>
      <c r="C145" s="464">
        <f>IF(D93="","-",+C144+1)</f>
        <v>2068</v>
      </c>
      <c r="D145" s="465">
        <f>IF(F144+SUM(E$99:E144)=D$92,F144,D$92-SUM(E$99:E144))</f>
        <v>0</v>
      </c>
      <c r="E145" s="354">
        <f t="shared" si="30"/>
        <v>0</v>
      </c>
      <c r="F145" s="466">
        <f t="shared" si="31"/>
        <v>0</v>
      </c>
      <c r="G145" s="466">
        <f t="shared" si="32"/>
        <v>0</v>
      </c>
      <c r="H145" s="494">
        <f t="shared" si="33"/>
        <v>0</v>
      </c>
      <c r="I145" s="495">
        <f t="shared" si="34"/>
        <v>0</v>
      </c>
      <c r="J145" s="446">
        <f t="shared" si="35"/>
        <v>0</v>
      </c>
      <c r="K145" s="446"/>
      <c r="L145" s="115"/>
      <c r="M145" s="446">
        <f t="shared" si="36"/>
        <v>0</v>
      </c>
      <c r="N145" s="115"/>
      <c r="O145" s="446">
        <f t="shared" si="37"/>
        <v>0</v>
      </c>
      <c r="P145" s="446">
        <f t="shared" si="38"/>
        <v>0</v>
      </c>
    </row>
    <row r="146" spans="2:16">
      <c r="B146" s="7" t="str">
        <f t="shared" si="26"/>
        <v/>
      </c>
      <c r="C146" s="464">
        <f>IF(D93="","-",+C145+1)</f>
        <v>2069</v>
      </c>
      <c r="D146" s="465">
        <f>IF(F145+SUM(E$99:E145)=D$92,F145,D$92-SUM(E$99:E145))</f>
        <v>0</v>
      </c>
      <c r="E146" s="354">
        <f t="shared" si="30"/>
        <v>0</v>
      </c>
      <c r="F146" s="466">
        <f t="shared" si="31"/>
        <v>0</v>
      </c>
      <c r="G146" s="466">
        <f t="shared" si="32"/>
        <v>0</v>
      </c>
      <c r="H146" s="494">
        <f t="shared" si="33"/>
        <v>0</v>
      </c>
      <c r="I146" s="495">
        <f t="shared" si="34"/>
        <v>0</v>
      </c>
      <c r="J146" s="446">
        <f t="shared" si="35"/>
        <v>0</v>
      </c>
      <c r="K146" s="446"/>
      <c r="L146" s="115"/>
      <c r="M146" s="446">
        <f t="shared" si="36"/>
        <v>0</v>
      </c>
      <c r="N146" s="115"/>
      <c r="O146" s="446">
        <f t="shared" si="37"/>
        <v>0</v>
      </c>
      <c r="P146" s="446">
        <f t="shared" si="38"/>
        <v>0</v>
      </c>
    </row>
    <row r="147" spans="2:16">
      <c r="B147" s="7" t="str">
        <f t="shared" si="26"/>
        <v/>
      </c>
      <c r="C147" s="464">
        <f>IF(D93="","-",+C146+1)</f>
        <v>2070</v>
      </c>
      <c r="D147" s="465">
        <f>IF(F146+SUM(E$99:E146)=D$92,F146,D$92-SUM(E$99:E146))</f>
        <v>0</v>
      </c>
      <c r="E147" s="354">
        <f t="shared" si="30"/>
        <v>0</v>
      </c>
      <c r="F147" s="466">
        <f t="shared" si="31"/>
        <v>0</v>
      </c>
      <c r="G147" s="466">
        <f t="shared" si="32"/>
        <v>0</v>
      </c>
      <c r="H147" s="494">
        <f t="shared" si="33"/>
        <v>0</v>
      </c>
      <c r="I147" s="495">
        <f t="shared" si="34"/>
        <v>0</v>
      </c>
      <c r="J147" s="446">
        <f t="shared" si="35"/>
        <v>0</v>
      </c>
      <c r="K147" s="446"/>
      <c r="L147" s="115"/>
      <c r="M147" s="446">
        <f t="shared" si="36"/>
        <v>0</v>
      </c>
      <c r="N147" s="115"/>
      <c r="O147" s="446">
        <f t="shared" si="37"/>
        <v>0</v>
      </c>
      <c r="P147" s="446">
        <f t="shared" si="38"/>
        <v>0</v>
      </c>
    </row>
    <row r="148" spans="2:16">
      <c r="B148" s="7" t="str">
        <f t="shared" si="26"/>
        <v/>
      </c>
      <c r="C148" s="464">
        <f>IF(D93="","-",+C147+1)</f>
        <v>2071</v>
      </c>
      <c r="D148" s="465">
        <f>IF(F147+SUM(E$99:E147)=D$92,F147,D$92-SUM(E$99:E147))</f>
        <v>0</v>
      </c>
      <c r="E148" s="354">
        <f t="shared" si="30"/>
        <v>0</v>
      </c>
      <c r="F148" s="466">
        <f t="shared" si="31"/>
        <v>0</v>
      </c>
      <c r="G148" s="466">
        <f t="shared" si="32"/>
        <v>0</v>
      </c>
      <c r="H148" s="494">
        <f t="shared" si="33"/>
        <v>0</v>
      </c>
      <c r="I148" s="495">
        <f t="shared" si="34"/>
        <v>0</v>
      </c>
      <c r="J148" s="446">
        <f t="shared" si="35"/>
        <v>0</v>
      </c>
      <c r="K148" s="446"/>
      <c r="L148" s="115"/>
      <c r="M148" s="446">
        <f t="shared" si="36"/>
        <v>0</v>
      </c>
      <c r="N148" s="115"/>
      <c r="O148" s="446">
        <f t="shared" si="37"/>
        <v>0</v>
      </c>
      <c r="P148" s="446">
        <f t="shared" si="38"/>
        <v>0</v>
      </c>
    </row>
    <row r="149" spans="2:16">
      <c r="B149" s="7" t="str">
        <f t="shared" si="26"/>
        <v/>
      </c>
      <c r="C149" s="464">
        <f>IF(D93="","-",+C148+1)</f>
        <v>2072</v>
      </c>
      <c r="D149" s="465">
        <f>IF(F148+SUM(E$99:E148)=D$92,F148,D$92-SUM(E$99:E148))</f>
        <v>0</v>
      </c>
      <c r="E149" s="354">
        <f t="shared" si="30"/>
        <v>0</v>
      </c>
      <c r="F149" s="466">
        <f t="shared" si="31"/>
        <v>0</v>
      </c>
      <c r="G149" s="466">
        <f t="shared" si="32"/>
        <v>0</v>
      </c>
      <c r="H149" s="494">
        <f t="shared" si="33"/>
        <v>0</v>
      </c>
      <c r="I149" s="495">
        <f t="shared" si="34"/>
        <v>0</v>
      </c>
      <c r="J149" s="446">
        <f t="shared" si="35"/>
        <v>0</v>
      </c>
      <c r="K149" s="446"/>
      <c r="L149" s="115"/>
      <c r="M149" s="446">
        <f t="shared" si="36"/>
        <v>0</v>
      </c>
      <c r="N149" s="115"/>
      <c r="O149" s="446">
        <f t="shared" si="37"/>
        <v>0</v>
      </c>
      <c r="P149" s="446">
        <f t="shared" si="38"/>
        <v>0</v>
      </c>
    </row>
    <row r="150" spans="2:16">
      <c r="B150" s="7" t="str">
        <f t="shared" si="26"/>
        <v/>
      </c>
      <c r="C150" s="464">
        <f>IF(D93="","-",+C149+1)</f>
        <v>2073</v>
      </c>
      <c r="D150" s="465">
        <f>IF(F149+SUM(E$99:E149)=D$92,F149,D$92-SUM(E$99:E149))</f>
        <v>0</v>
      </c>
      <c r="E150" s="354">
        <f t="shared" si="30"/>
        <v>0</v>
      </c>
      <c r="F150" s="466">
        <f t="shared" si="31"/>
        <v>0</v>
      </c>
      <c r="G150" s="466">
        <f t="shared" si="32"/>
        <v>0</v>
      </c>
      <c r="H150" s="494">
        <f t="shared" si="33"/>
        <v>0</v>
      </c>
      <c r="I150" s="495">
        <f t="shared" si="34"/>
        <v>0</v>
      </c>
      <c r="J150" s="446">
        <f t="shared" si="35"/>
        <v>0</v>
      </c>
      <c r="K150" s="446"/>
      <c r="L150" s="115"/>
      <c r="M150" s="446">
        <f t="shared" si="36"/>
        <v>0</v>
      </c>
      <c r="N150" s="115"/>
      <c r="O150" s="446">
        <f t="shared" si="37"/>
        <v>0</v>
      </c>
      <c r="P150" s="446">
        <f t="shared" si="38"/>
        <v>0</v>
      </c>
    </row>
    <row r="151" spans="2:16">
      <c r="B151" s="7" t="str">
        <f t="shared" si="26"/>
        <v/>
      </c>
      <c r="C151" s="464">
        <f>IF(D93="","-",+C150+1)</f>
        <v>2074</v>
      </c>
      <c r="D151" s="465">
        <f>IF(F150+SUM(E$99:E150)=D$92,F150,D$92-SUM(E$99:E150))</f>
        <v>0</v>
      </c>
      <c r="E151" s="354">
        <f t="shared" si="30"/>
        <v>0</v>
      </c>
      <c r="F151" s="466">
        <f t="shared" si="31"/>
        <v>0</v>
      </c>
      <c r="G151" s="466">
        <f t="shared" si="32"/>
        <v>0</v>
      </c>
      <c r="H151" s="494">
        <f t="shared" si="33"/>
        <v>0</v>
      </c>
      <c r="I151" s="495">
        <f t="shared" si="34"/>
        <v>0</v>
      </c>
      <c r="J151" s="446">
        <f t="shared" si="35"/>
        <v>0</v>
      </c>
      <c r="K151" s="446"/>
      <c r="L151" s="115"/>
      <c r="M151" s="446">
        <f t="shared" si="36"/>
        <v>0</v>
      </c>
      <c r="N151" s="115"/>
      <c r="O151" s="446">
        <f t="shared" si="37"/>
        <v>0</v>
      </c>
      <c r="P151" s="446">
        <f t="shared" si="38"/>
        <v>0</v>
      </c>
    </row>
    <row r="152" spans="2:16">
      <c r="B152" s="7" t="str">
        <f t="shared" si="26"/>
        <v/>
      </c>
      <c r="C152" s="464">
        <f>IF(D93="","-",+C151+1)</f>
        <v>2075</v>
      </c>
      <c r="D152" s="465">
        <f>IF(F151+SUM(E$99:E151)=D$92,F151,D$92-SUM(E$99:E151))</f>
        <v>0</v>
      </c>
      <c r="E152" s="354">
        <f t="shared" si="30"/>
        <v>0</v>
      </c>
      <c r="F152" s="466">
        <f t="shared" si="31"/>
        <v>0</v>
      </c>
      <c r="G152" s="466">
        <f t="shared" si="32"/>
        <v>0</v>
      </c>
      <c r="H152" s="494">
        <f t="shared" si="33"/>
        <v>0</v>
      </c>
      <c r="I152" s="495">
        <f t="shared" si="34"/>
        <v>0</v>
      </c>
      <c r="J152" s="446">
        <f t="shared" si="35"/>
        <v>0</v>
      </c>
      <c r="K152" s="446"/>
      <c r="L152" s="115"/>
      <c r="M152" s="446">
        <f t="shared" si="36"/>
        <v>0</v>
      </c>
      <c r="N152" s="115"/>
      <c r="O152" s="446">
        <f t="shared" si="37"/>
        <v>0</v>
      </c>
      <c r="P152" s="446">
        <f t="shared" si="38"/>
        <v>0</v>
      </c>
    </row>
    <row r="153" spans="2:16">
      <c r="B153" s="7" t="str">
        <f t="shared" si="26"/>
        <v/>
      </c>
      <c r="C153" s="464">
        <f>IF(D93="","-",+C152+1)</f>
        <v>2076</v>
      </c>
      <c r="D153" s="465">
        <f>IF(F152+SUM(E$99:E152)=D$92,F152,D$92-SUM(E$99:E152))</f>
        <v>0</v>
      </c>
      <c r="E153" s="354">
        <f t="shared" si="30"/>
        <v>0</v>
      </c>
      <c r="F153" s="466">
        <f t="shared" si="31"/>
        <v>0</v>
      </c>
      <c r="G153" s="466">
        <f t="shared" si="32"/>
        <v>0</v>
      </c>
      <c r="H153" s="494">
        <f t="shared" si="33"/>
        <v>0</v>
      </c>
      <c r="I153" s="495">
        <f t="shared" si="34"/>
        <v>0</v>
      </c>
      <c r="J153" s="446">
        <f t="shared" si="35"/>
        <v>0</v>
      </c>
      <c r="K153" s="446"/>
      <c r="L153" s="115"/>
      <c r="M153" s="446">
        <f t="shared" si="36"/>
        <v>0</v>
      </c>
      <c r="N153" s="115"/>
      <c r="O153" s="446">
        <f t="shared" si="37"/>
        <v>0</v>
      </c>
      <c r="P153" s="446">
        <f t="shared" si="38"/>
        <v>0</v>
      </c>
    </row>
    <row r="154" spans="2:16" ht="13.5" thickBot="1">
      <c r="B154" s="7" t="str">
        <f t="shared" si="26"/>
        <v/>
      </c>
      <c r="C154" s="471">
        <f>IF(D93="","-",+C153+1)</f>
        <v>2077</v>
      </c>
      <c r="D154" s="492">
        <f>IF(F153+SUM(E$99:E153)=D$92,F153,D$92-SUM(E$99:E153))</f>
        <v>0</v>
      </c>
      <c r="E154" s="357">
        <f t="shared" si="30"/>
        <v>0</v>
      </c>
      <c r="F154" s="472">
        <f t="shared" si="31"/>
        <v>0</v>
      </c>
      <c r="G154" s="472">
        <f t="shared" si="32"/>
        <v>0</v>
      </c>
      <c r="H154" s="435">
        <f t="shared" si="33"/>
        <v>0</v>
      </c>
      <c r="I154" s="436">
        <f t="shared" si="34"/>
        <v>0</v>
      </c>
      <c r="J154" s="475">
        <f t="shared" si="35"/>
        <v>0</v>
      </c>
      <c r="K154" s="446"/>
      <c r="L154" s="116"/>
      <c r="M154" s="475">
        <f t="shared" si="36"/>
        <v>0</v>
      </c>
      <c r="N154" s="116"/>
      <c r="O154" s="475">
        <f t="shared" si="37"/>
        <v>0</v>
      </c>
      <c r="P154" s="475">
        <f t="shared" si="38"/>
        <v>0</v>
      </c>
    </row>
    <row r="155" spans="2:16">
      <c r="C155" s="465" t="s">
        <v>77</v>
      </c>
      <c r="D155" s="453"/>
      <c r="E155" s="453">
        <f>SUM(E99:E154)</f>
        <v>37862.589999999997</v>
      </c>
      <c r="F155" s="453"/>
      <c r="G155" s="453"/>
      <c r="H155" s="453">
        <f>SUM(H99:H154)</f>
        <v>125327.92659740458</v>
      </c>
      <c r="I155" s="453">
        <f>SUM(I99:I154)</f>
        <v>125327.92659740458</v>
      </c>
      <c r="J155" s="453">
        <f>SUM(J99:J154)</f>
        <v>0</v>
      </c>
      <c r="K155" s="453"/>
      <c r="L155" s="453"/>
      <c r="M155" s="453"/>
      <c r="N155" s="453"/>
      <c r="O155" s="453"/>
      <c r="P155" s="449"/>
    </row>
    <row r="156" spans="2:16">
      <c r="C156" t="s">
        <v>100</v>
      </c>
      <c r="D156" s="450"/>
      <c r="E156" s="449"/>
      <c r="F156" s="449"/>
      <c r="G156" s="449"/>
      <c r="H156" s="449"/>
      <c r="I156" s="452"/>
      <c r="J156" s="452"/>
      <c r="K156" s="453"/>
      <c r="L156" s="452"/>
      <c r="M156" s="452"/>
      <c r="N156" s="452"/>
      <c r="O156" s="452"/>
      <c r="P156" s="449"/>
    </row>
    <row r="157" spans="2:16">
      <c r="C157" s="83"/>
      <c r="D157" s="450"/>
      <c r="E157" s="449"/>
      <c r="F157" s="449"/>
      <c r="G157" s="449"/>
      <c r="H157" s="449"/>
      <c r="I157" s="452"/>
      <c r="J157" s="452"/>
      <c r="K157" s="453"/>
      <c r="L157" s="452"/>
      <c r="M157" s="452"/>
      <c r="N157" s="452"/>
      <c r="O157" s="452"/>
      <c r="P157" s="449"/>
    </row>
    <row r="158" spans="2:16">
      <c r="C158" s="98" t="s">
        <v>148</v>
      </c>
      <c r="D158" s="450"/>
      <c r="E158" s="449"/>
      <c r="F158" s="449"/>
      <c r="G158" s="449"/>
      <c r="H158" s="449"/>
      <c r="I158" s="452"/>
      <c r="J158" s="452"/>
      <c r="K158" s="453"/>
      <c r="L158" s="452"/>
      <c r="M158" s="452"/>
      <c r="N158" s="452"/>
      <c r="O158" s="452"/>
      <c r="P158" s="449"/>
    </row>
    <row r="159" spans="2:16">
      <c r="C159" s="26" t="s">
        <v>78</v>
      </c>
      <c r="D159" s="465"/>
      <c r="E159" s="465"/>
      <c r="F159" s="465"/>
      <c r="G159" s="465"/>
      <c r="H159" s="453"/>
      <c r="I159" s="453"/>
      <c r="J159" s="476"/>
      <c r="K159" s="476"/>
      <c r="L159" s="476"/>
      <c r="M159" s="476"/>
      <c r="N159" s="476"/>
      <c r="O159" s="476"/>
      <c r="P159" s="449"/>
    </row>
    <row r="160" spans="2:16">
      <c r="C160" s="84" t="s">
        <v>79</v>
      </c>
      <c r="D160" s="465"/>
      <c r="E160" s="465"/>
      <c r="F160" s="465"/>
      <c r="G160" s="465"/>
      <c r="H160" s="453"/>
      <c r="I160" s="453"/>
      <c r="J160" s="476"/>
      <c r="K160" s="476"/>
      <c r="L160" s="476"/>
      <c r="M160" s="476"/>
      <c r="N160" s="476"/>
      <c r="O160" s="476"/>
      <c r="P160" s="449"/>
    </row>
    <row r="161" spans="3:16">
      <c r="C161" s="84"/>
      <c r="D161" s="465"/>
      <c r="E161" s="465"/>
      <c r="F161" s="465"/>
      <c r="G161" s="465"/>
      <c r="H161" s="453"/>
      <c r="I161" s="453"/>
      <c r="J161" s="476"/>
      <c r="K161" s="476"/>
      <c r="L161" s="476"/>
      <c r="M161" s="476"/>
      <c r="N161" s="476"/>
      <c r="O161" s="476"/>
      <c r="P161" s="449"/>
    </row>
    <row r="162" spans="3:16" ht="18">
      <c r="C162" s="84"/>
      <c r="D162" s="465"/>
      <c r="E162" s="465"/>
      <c r="F162" s="465"/>
      <c r="G162" s="465"/>
      <c r="H162" s="453"/>
      <c r="I162" s="453"/>
      <c r="J162" s="476"/>
      <c r="K162" s="476"/>
      <c r="L162" s="476"/>
      <c r="M162" s="476"/>
      <c r="N162" s="476"/>
      <c r="P162" s="96" t="s">
        <v>145</v>
      </c>
    </row>
  </sheetData>
  <conditionalFormatting sqref="C17:C72">
    <cfRule type="cellIs" dxfId="17" priority="1" stopIfTrue="1" operator="equal">
      <formula>$I$10</formula>
    </cfRule>
  </conditionalFormatting>
  <conditionalFormatting sqref="C99:C154">
    <cfRule type="cellIs" dxfId="16" priority="2" stopIfTrue="1" operator="equal">
      <formula>$J$92</formula>
    </cfRule>
  </conditionalFormatting>
  <pageMargins left="0.5" right="0.25" top="1" bottom="0.4" header="0.25" footer="0.5"/>
  <pageSetup scale="4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C4AAE-D46C-463D-AC52-DE26EE120341}">
  <dimension ref="A1:P162"/>
  <sheetViews>
    <sheetView topLeftCell="A73" zoomScale="80" zoomScaleNormal="80" workbookViewId="0">
      <selection activeCell="E33" sqref="E33"/>
    </sheetView>
  </sheetViews>
  <sheetFormatPr defaultColWidth="8.7109375" defaultRowHeight="12.75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449"/>
      <c r="C1" s="449"/>
      <c r="D1" s="450"/>
      <c r="E1" s="449"/>
      <c r="F1" s="451"/>
      <c r="G1" s="449"/>
      <c r="H1" s="45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30 of 36</v>
      </c>
    </row>
    <row r="2" spans="1:16" ht="18">
      <c r="B2" s="449"/>
      <c r="C2" s="449"/>
      <c r="D2" s="450"/>
      <c r="E2" s="449"/>
      <c r="F2" s="449"/>
      <c r="G2" s="449"/>
      <c r="H2" s="452"/>
      <c r="I2" s="449"/>
      <c r="J2" s="449"/>
      <c r="K2" s="449"/>
      <c r="L2" s="449"/>
      <c r="M2" s="449"/>
      <c r="N2" s="449"/>
      <c r="P2" s="100" t="s">
        <v>150</v>
      </c>
    </row>
    <row r="3" spans="1:16" ht="18.75">
      <c r="B3" s="4" t="s">
        <v>42</v>
      </c>
      <c r="C3" s="10" t="s">
        <v>43</v>
      </c>
      <c r="D3" s="450"/>
      <c r="E3" s="449"/>
      <c r="F3" s="449"/>
      <c r="G3" s="449"/>
      <c r="H3" s="452"/>
      <c r="I3" s="452"/>
      <c r="J3" s="453"/>
      <c r="K3" s="452"/>
      <c r="L3" s="452"/>
      <c r="M3" s="452"/>
      <c r="N3" s="452"/>
      <c r="O3" s="449"/>
      <c r="P3" s="92">
        <v>1</v>
      </c>
    </row>
    <row r="4" spans="1:16" ht="15.75" thickBot="1">
      <c r="C4" s="247"/>
      <c r="D4" s="450"/>
      <c r="E4" s="449"/>
      <c r="F4" s="449"/>
      <c r="G4" s="449"/>
      <c r="H4" s="452"/>
      <c r="I4" s="452"/>
      <c r="J4" s="453"/>
      <c r="K4" s="452"/>
      <c r="L4" s="452"/>
      <c r="M4" s="452"/>
      <c r="N4" s="452"/>
      <c r="O4" s="449"/>
      <c r="P4" s="449"/>
    </row>
    <row r="5" spans="1:16" ht="15">
      <c r="C5" s="15" t="s">
        <v>44</v>
      </c>
      <c r="D5" s="450"/>
      <c r="E5" s="449"/>
      <c r="F5" s="449"/>
      <c r="G5" s="325"/>
      <c r="H5" s="449" t="s">
        <v>45</v>
      </c>
      <c r="I5" s="449"/>
      <c r="J5" s="449"/>
      <c r="K5" s="17" t="s">
        <v>279</v>
      </c>
      <c r="L5" s="18"/>
      <c r="M5" s="454"/>
      <c r="N5" s="326">
        <f>VLOOKUP(I10,C17:I72,5)</f>
        <v>236008.55145747482</v>
      </c>
      <c r="P5" s="449"/>
    </row>
    <row r="6" spans="1:16" ht="15.75">
      <c r="C6" s="6"/>
      <c r="D6" s="450"/>
      <c r="E6" s="449"/>
      <c r="F6" s="449"/>
      <c r="G6" s="449"/>
      <c r="H6" s="327"/>
      <c r="I6" s="327"/>
      <c r="J6" s="328"/>
      <c r="K6" s="23" t="s">
        <v>280</v>
      </c>
      <c r="L6" s="329"/>
      <c r="M6" s="449"/>
      <c r="N6" s="330">
        <f>VLOOKUP(I10,C17:I72,6)</f>
        <v>236008.55145747482</v>
      </c>
      <c r="O6" s="449"/>
      <c r="P6" s="449"/>
    </row>
    <row r="7" spans="1:16" ht="13.5" thickBot="1">
      <c r="C7" s="26" t="s">
        <v>46</v>
      </c>
      <c r="D7" s="437" t="s">
        <v>336</v>
      </c>
      <c r="E7" s="449"/>
      <c r="F7" s="449"/>
      <c r="G7" s="449"/>
      <c r="H7" s="452"/>
      <c r="I7" s="452"/>
      <c r="J7" s="453"/>
      <c r="K7" s="332" t="s">
        <v>47</v>
      </c>
      <c r="L7" s="455"/>
      <c r="M7" s="455"/>
      <c r="N7" s="456">
        <f>+N6-N5</f>
        <v>0</v>
      </c>
      <c r="O7" s="449"/>
      <c r="P7" s="449"/>
    </row>
    <row r="8" spans="1:16" ht="13.5" thickBot="1">
      <c r="C8" s="30"/>
      <c r="D8" s="83"/>
      <c r="E8" s="457"/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49"/>
    </row>
    <row r="9" spans="1:16" ht="13.5" thickBot="1">
      <c r="C9" s="31" t="s">
        <v>48</v>
      </c>
      <c r="D9" s="90" t="s">
        <v>339</v>
      </c>
      <c r="E9" s="438" t="s">
        <v>337</v>
      </c>
      <c r="F9" s="32"/>
      <c r="G9" s="32"/>
      <c r="H9" s="32"/>
      <c r="I9" s="33"/>
      <c r="J9" s="34"/>
      <c r="P9" s="449"/>
    </row>
    <row r="10" spans="1:16">
      <c r="C10" s="458" t="s">
        <v>226</v>
      </c>
      <c r="D10" s="335">
        <v>1822797</v>
      </c>
      <c r="E10" s="449" t="s">
        <v>51</v>
      </c>
      <c r="G10" s="450"/>
      <c r="H10" s="450"/>
      <c r="I10" s="36">
        <v>2025</v>
      </c>
      <c r="J10" s="34"/>
      <c r="K10" s="453" t="s">
        <v>52</v>
      </c>
      <c r="O10" s="449"/>
      <c r="P10" s="449"/>
    </row>
    <row r="11" spans="1:16">
      <c r="C11" s="459" t="s">
        <v>53</v>
      </c>
      <c r="D11" s="38">
        <v>2021</v>
      </c>
      <c r="E11" s="459" t="s">
        <v>54</v>
      </c>
      <c r="F11" s="450"/>
      <c r="I11" s="460">
        <v>0</v>
      </c>
      <c r="J11" s="461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49"/>
      <c r="P11" s="449"/>
    </row>
    <row r="12" spans="1:16">
      <c r="C12" s="459" t="s">
        <v>55</v>
      </c>
      <c r="D12" s="335">
        <v>11</v>
      </c>
      <c r="E12" s="459" t="s">
        <v>56</v>
      </c>
      <c r="F12" s="450"/>
      <c r="I12" s="462">
        <v>0.10781124580725182</v>
      </c>
      <c r="J12" s="451"/>
      <c r="K12" t="s">
        <v>57</v>
      </c>
      <c r="O12" s="449"/>
      <c r="P12" s="449"/>
    </row>
    <row r="13" spans="1:16">
      <c r="C13" s="459" t="s">
        <v>58</v>
      </c>
      <c r="D13" s="460">
        <v>42</v>
      </c>
      <c r="E13" s="459" t="s">
        <v>59</v>
      </c>
      <c r="F13" s="450"/>
      <c r="I13" s="462">
        <v>0.10781124580725182</v>
      </c>
      <c r="J13" s="451"/>
      <c r="K13" s="453" t="s">
        <v>60</v>
      </c>
      <c r="L13" s="451"/>
      <c r="M13" s="451"/>
      <c r="N13" s="451"/>
      <c r="O13" s="449"/>
      <c r="P13" s="449"/>
    </row>
    <row r="14" spans="1:16" ht="13.5" thickBot="1">
      <c r="C14" s="459" t="s">
        <v>61</v>
      </c>
      <c r="D14" s="38" t="s">
        <v>62</v>
      </c>
      <c r="E14" s="449" t="s">
        <v>63</v>
      </c>
      <c r="F14" s="450"/>
      <c r="I14" s="463">
        <f>IF(D10=0,0,D10/D13)</f>
        <v>43399.928571428572</v>
      </c>
      <c r="J14" s="453"/>
      <c r="K14" s="453"/>
      <c r="L14" s="453"/>
      <c r="M14" s="453"/>
      <c r="N14" s="453"/>
      <c r="O14" s="449"/>
      <c r="P14" s="449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449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449"/>
    </row>
    <row r="17" spans="2:16">
      <c r="B17" s="7"/>
      <c r="C17" s="464">
        <f>IF(D11= "","-",D11)</f>
        <v>2021</v>
      </c>
      <c r="D17" s="439">
        <v>0</v>
      </c>
      <c r="E17" s="440">
        <v>0</v>
      </c>
      <c r="F17" s="441">
        <v>1613510.2261904762</v>
      </c>
      <c r="G17" s="440">
        <v>0</v>
      </c>
      <c r="H17" s="442">
        <v>0</v>
      </c>
      <c r="I17" s="468">
        <f>H17-G17</f>
        <v>0</v>
      </c>
      <c r="J17" s="468"/>
      <c r="K17" s="117">
        <f>+G17</f>
        <v>0</v>
      </c>
      <c r="L17" s="469">
        <f t="shared" ref="L17:L72" si="0">IF(K17&lt;&gt;0,+G17-K17,0)</f>
        <v>0</v>
      </c>
      <c r="M17" s="117">
        <f>+H17</f>
        <v>0</v>
      </c>
      <c r="N17" s="469">
        <f t="shared" ref="N17:N72" si="1">IF(M17&lt;&gt;0,+H17-M17,0)</f>
        <v>0</v>
      </c>
      <c r="O17" s="446">
        <f t="shared" ref="O17:O72" si="2">+N17-L17</f>
        <v>0</v>
      </c>
      <c r="P17" s="449"/>
    </row>
    <row r="18" spans="2:16">
      <c r="B18" s="7" t="str">
        <f>IF(D18=F17,"","IU")</f>
        <v>IU</v>
      </c>
      <c r="C18" s="464">
        <f>IF(D11="","-",+C17+1)</f>
        <v>2022</v>
      </c>
      <c r="D18" s="348">
        <v>1865411</v>
      </c>
      <c r="E18" s="352">
        <v>47831.051282051281</v>
      </c>
      <c r="F18" s="348">
        <v>1817579.9487179487</v>
      </c>
      <c r="G18" s="352">
        <v>267630.01874077739</v>
      </c>
      <c r="H18" s="353">
        <v>267630.01874077739</v>
      </c>
      <c r="I18" s="468">
        <f>H18-G18</f>
        <v>0</v>
      </c>
      <c r="J18" s="468"/>
      <c r="K18" s="350">
        <f>+G18</f>
        <v>267630.01874077739</v>
      </c>
      <c r="L18" s="446">
        <f t="shared" ref="L18" si="3">IF(K18&lt;&gt;0,+G18-K18,0)</f>
        <v>0</v>
      </c>
      <c r="M18" s="350">
        <f>+H18</f>
        <v>267630.01874077739</v>
      </c>
      <c r="N18" s="446">
        <f t="shared" si="1"/>
        <v>0</v>
      </c>
      <c r="O18" s="446">
        <f t="shared" si="2"/>
        <v>0</v>
      </c>
      <c r="P18" s="449"/>
    </row>
    <row r="19" spans="2:16">
      <c r="B19" s="7" t="str">
        <f>IF(D19=F18,"","IU")</f>
        <v/>
      </c>
      <c r="C19" s="464">
        <f>IF(D11="","-",+C18+1)</f>
        <v>2023</v>
      </c>
      <c r="D19" s="348">
        <v>1817579.9487179487</v>
      </c>
      <c r="E19" s="352">
        <v>47831.051282051281</v>
      </c>
      <c r="F19" s="348">
        <v>1769748.8974358975</v>
      </c>
      <c r="G19" s="352">
        <v>261920.95465094032</v>
      </c>
      <c r="H19" s="353">
        <v>261920.95465094032</v>
      </c>
      <c r="I19" s="468">
        <f t="shared" ref="I19:I71" si="4">H19-G19</f>
        <v>0</v>
      </c>
      <c r="J19" s="468"/>
      <c r="K19" s="350">
        <f>+G19</f>
        <v>261920.95465094032</v>
      </c>
      <c r="L19" s="446">
        <f t="shared" ref="L19" si="5">IF(K19&lt;&gt;0,+G19-K19,0)</f>
        <v>0</v>
      </c>
      <c r="M19" s="350">
        <f>+H19</f>
        <v>261920.95465094032</v>
      </c>
      <c r="N19" s="446">
        <f t="shared" si="1"/>
        <v>0</v>
      </c>
      <c r="O19" s="446">
        <f t="shared" si="2"/>
        <v>0</v>
      </c>
      <c r="P19" s="449"/>
    </row>
    <row r="20" spans="2:16">
      <c r="B20" s="7" t="str">
        <f t="shared" ref="B20:B72" si="6">IF(D20=F19,"","IU")</f>
        <v>IU</v>
      </c>
      <c r="C20" s="464">
        <f>IF(D11="","-",+C19+1)</f>
        <v>2024</v>
      </c>
      <c r="D20" s="348">
        <v>1726886.8974358975</v>
      </c>
      <c r="E20" s="352">
        <v>47961.815789473687</v>
      </c>
      <c r="F20" s="348">
        <v>1678925.0816464238</v>
      </c>
      <c r="G20" s="352">
        <v>241650.66247029093</v>
      </c>
      <c r="H20" s="353">
        <v>241650.66247029093</v>
      </c>
      <c r="I20" s="468">
        <f t="shared" si="4"/>
        <v>0</v>
      </c>
      <c r="J20" s="468"/>
      <c r="K20" s="350">
        <f>+G20</f>
        <v>241650.66247029093</v>
      </c>
      <c r="L20" s="446">
        <f t="shared" ref="L20" si="7">IF(K20&lt;&gt;0,+G20-K20,0)</f>
        <v>0</v>
      </c>
      <c r="M20" s="350">
        <f>+H20</f>
        <v>241650.66247029093</v>
      </c>
      <c r="N20" s="446">
        <f t="shared" ref="N20" si="8">IF(M20&lt;&gt;0,+H20-M20,0)</f>
        <v>0</v>
      </c>
      <c r="O20" s="446">
        <f t="shared" ref="O20" si="9">+N20-L20</f>
        <v>0</v>
      </c>
      <c r="P20" s="449"/>
    </row>
    <row r="21" spans="2:16">
      <c r="B21" s="7" t="str">
        <f t="shared" si="6"/>
        <v>IU</v>
      </c>
      <c r="C21" s="464">
        <f>IF(D11="","-",+C20+1)</f>
        <v>2025</v>
      </c>
      <c r="D21" s="348">
        <v>1679173.0816464238</v>
      </c>
      <c r="E21" s="352">
        <v>47968.34210526316</v>
      </c>
      <c r="F21" s="348">
        <v>1631204.7395411606</v>
      </c>
      <c r="G21" s="352">
        <v>236008.55145747482</v>
      </c>
      <c r="H21" s="353">
        <v>236008.55145747482</v>
      </c>
      <c r="I21" s="468">
        <f t="shared" si="4"/>
        <v>0</v>
      </c>
      <c r="J21" s="468"/>
      <c r="K21" s="350">
        <f>+G21</f>
        <v>236008.55145747482</v>
      </c>
      <c r="L21" s="446">
        <f t="shared" ref="L21" si="10">IF(K21&lt;&gt;0,+G21-K21,0)</f>
        <v>0</v>
      </c>
      <c r="M21" s="350">
        <f>+H21</f>
        <v>236008.55145747482</v>
      </c>
      <c r="N21" s="446">
        <f t="shared" ref="N21" si="11">IF(M21&lt;&gt;0,+H21-M21,0)</f>
        <v>0</v>
      </c>
      <c r="O21" s="446">
        <f t="shared" ref="O21" si="12">+N21-L21</f>
        <v>0</v>
      </c>
      <c r="P21" s="449"/>
    </row>
    <row r="22" spans="2:16">
      <c r="B22" s="7" t="str">
        <f t="shared" si="6"/>
        <v/>
      </c>
      <c r="C22" s="464">
        <f>IF(D11="","-",+C21+1)</f>
        <v>2026</v>
      </c>
      <c r="D22" s="466">
        <f>IF(F21+SUM(E$17:E21)=D$10,F21,D$10-SUM(E$17:E21))</f>
        <v>1631204.7395411606</v>
      </c>
      <c r="E22" s="56">
        <f t="shared" ref="E22:E71" si="13">IF(+I$14&lt;F21,I$14,D22)</f>
        <v>43399.928571428572</v>
      </c>
      <c r="F22" s="466">
        <f t="shared" ref="F22:F71" si="14">+D22-E22</f>
        <v>1587804.810969732</v>
      </c>
      <c r="G22" s="470">
        <f t="shared" ref="G22:G71" si="15">(D22+F22)/2*I$12+E22</f>
        <v>216922.6435244391</v>
      </c>
      <c r="H22" s="467">
        <f t="shared" ref="H22:H71" si="16">+(D22+F22)/2*I$13+E22</f>
        <v>216922.6435244391</v>
      </c>
      <c r="I22" s="468">
        <f t="shared" si="4"/>
        <v>0</v>
      </c>
      <c r="J22" s="468"/>
      <c r="K22" s="115"/>
      <c r="L22" s="446">
        <f t="shared" si="0"/>
        <v>0</v>
      </c>
      <c r="M22" s="115"/>
      <c r="N22" s="446">
        <f t="shared" si="1"/>
        <v>0</v>
      </c>
      <c r="O22" s="446">
        <f t="shared" si="2"/>
        <v>0</v>
      </c>
      <c r="P22" s="449"/>
    </row>
    <row r="23" spans="2:16">
      <c r="B23" s="7" t="str">
        <f t="shared" si="6"/>
        <v/>
      </c>
      <c r="C23" s="464">
        <f>IF(D11="","-",+C22+1)</f>
        <v>2027</v>
      </c>
      <c r="D23" s="466">
        <f>IF(F22+SUM(E$17:E22)=D$10,F22,D$10-SUM(E$17:E22))</f>
        <v>1587804.810969732</v>
      </c>
      <c r="E23" s="56">
        <f t="shared" si="13"/>
        <v>43399.928571428572</v>
      </c>
      <c r="F23" s="466">
        <f t="shared" si="14"/>
        <v>1544404.8823983034</v>
      </c>
      <c r="G23" s="470">
        <f t="shared" si="15"/>
        <v>212243.64315720764</v>
      </c>
      <c r="H23" s="467">
        <f t="shared" si="16"/>
        <v>212243.64315720764</v>
      </c>
      <c r="I23" s="468">
        <f t="shared" si="4"/>
        <v>0</v>
      </c>
      <c r="J23" s="468"/>
      <c r="K23" s="115"/>
      <c r="L23" s="446">
        <f t="shared" si="0"/>
        <v>0</v>
      </c>
      <c r="M23" s="115"/>
      <c r="N23" s="446">
        <f t="shared" si="1"/>
        <v>0</v>
      </c>
      <c r="O23" s="446">
        <f t="shared" si="2"/>
        <v>0</v>
      </c>
      <c r="P23" s="449"/>
    </row>
    <row r="24" spans="2:16">
      <c r="B24" s="7" t="str">
        <f t="shared" si="6"/>
        <v/>
      </c>
      <c r="C24" s="464">
        <f>IF(D11="","-",+C23+1)</f>
        <v>2028</v>
      </c>
      <c r="D24" s="466">
        <f>IF(F23+SUM(E$17:E23)=D$10,F23,D$10-SUM(E$17:E23))</f>
        <v>1544404.8823983034</v>
      </c>
      <c r="E24" s="56">
        <f t="shared" si="13"/>
        <v>43399.928571428572</v>
      </c>
      <c r="F24" s="466">
        <f t="shared" si="14"/>
        <v>1501004.9538268747</v>
      </c>
      <c r="G24" s="470">
        <f t="shared" si="15"/>
        <v>207564.64278997618</v>
      </c>
      <c r="H24" s="467">
        <f t="shared" si="16"/>
        <v>207564.64278997618</v>
      </c>
      <c r="I24" s="468">
        <f t="shared" si="4"/>
        <v>0</v>
      </c>
      <c r="J24" s="468"/>
      <c r="K24" s="115"/>
      <c r="L24" s="446">
        <f t="shared" si="0"/>
        <v>0</v>
      </c>
      <c r="M24" s="115"/>
      <c r="N24" s="446">
        <f t="shared" si="1"/>
        <v>0</v>
      </c>
      <c r="O24" s="446">
        <f t="shared" si="2"/>
        <v>0</v>
      </c>
      <c r="P24" s="449"/>
    </row>
    <row r="25" spans="2:16">
      <c r="B25" s="7" t="str">
        <f t="shared" si="6"/>
        <v/>
      </c>
      <c r="C25" s="464">
        <f>IF(D11="","-",+C24+1)</f>
        <v>2029</v>
      </c>
      <c r="D25" s="466">
        <f>IF(F24+SUM(E$17:E24)=D$10,F24,D$10-SUM(E$17:E24))</f>
        <v>1501004.9538268747</v>
      </c>
      <c r="E25" s="56">
        <f t="shared" si="13"/>
        <v>43399.928571428572</v>
      </c>
      <c r="F25" s="466">
        <f t="shared" si="14"/>
        <v>1457605.0252554461</v>
      </c>
      <c r="G25" s="470">
        <f t="shared" si="15"/>
        <v>202885.64242274471</v>
      </c>
      <c r="H25" s="467">
        <f t="shared" si="16"/>
        <v>202885.64242274471</v>
      </c>
      <c r="I25" s="468">
        <f t="shared" si="4"/>
        <v>0</v>
      </c>
      <c r="J25" s="468"/>
      <c r="K25" s="115"/>
      <c r="L25" s="446">
        <f t="shared" si="0"/>
        <v>0</v>
      </c>
      <c r="M25" s="115"/>
      <c r="N25" s="446">
        <f t="shared" si="1"/>
        <v>0</v>
      </c>
      <c r="O25" s="446">
        <f t="shared" si="2"/>
        <v>0</v>
      </c>
      <c r="P25" s="449"/>
    </row>
    <row r="26" spans="2:16">
      <c r="B26" s="7" t="str">
        <f t="shared" si="6"/>
        <v/>
      </c>
      <c r="C26" s="464">
        <f>IF(D11="","-",+C25+1)</f>
        <v>2030</v>
      </c>
      <c r="D26" s="466">
        <f>IF(F25+SUM(E$17:E25)=D$10,F25,D$10-SUM(E$17:E25))</f>
        <v>1457605.0252554461</v>
      </c>
      <c r="E26" s="56">
        <f t="shared" si="13"/>
        <v>43399.928571428572</v>
      </c>
      <c r="F26" s="466">
        <f t="shared" si="14"/>
        <v>1414205.0966840175</v>
      </c>
      <c r="G26" s="470">
        <f t="shared" si="15"/>
        <v>198206.64205551325</v>
      </c>
      <c r="H26" s="467">
        <f t="shared" si="16"/>
        <v>198206.64205551325</v>
      </c>
      <c r="I26" s="468">
        <f t="shared" si="4"/>
        <v>0</v>
      </c>
      <c r="J26" s="468"/>
      <c r="K26" s="115"/>
      <c r="L26" s="446">
        <f t="shared" si="0"/>
        <v>0</v>
      </c>
      <c r="M26" s="115"/>
      <c r="N26" s="446">
        <f t="shared" si="1"/>
        <v>0</v>
      </c>
      <c r="O26" s="446">
        <f t="shared" si="2"/>
        <v>0</v>
      </c>
      <c r="P26" s="449"/>
    </row>
    <row r="27" spans="2:16">
      <c r="B27" s="7" t="str">
        <f t="shared" si="6"/>
        <v/>
      </c>
      <c r="C27" s="464">
        <f>IF(D11="","-",+C26+1)</f>
        <v>2031</v>
      </c>
      <c r="D27" s="466">
        <f>IF(F26+SUM(E$17:E26)=D$10,F26,D$10-SUM(E$17:E26))</f>
        <v>1414205.0966840175</v>
      </c>
      <c r="E27" s="56">
        <f t="shared" si="13"/>
        <v>43399.928571428572</v>
      </c>
      <c r="F27" s="466">
        <f t="shared" si="14"/>
        <v>1370805.1681125888</v>
      </c>
      <c r="G27" s="470">
        <f t="shared" si="15"/>
        <v>193527.64168828179</v>
      </c>
      <c r="H27" s="467">
        <f t="shared" si="16"/>
        <v>193527.64168828179</v>
      </c>
      <c r="I27" s="468">
        <f t="shared" si="4"/>
        <v>0</v>
      </c>
      <c r="J27" s="468"/>
      <c r="K27" s="115"/>
      <c r="L27" s="446">
        <f t="shared" si="0"/>
        <v>0</v>
      </c>
      <c r="M27" s="115"/>
      <c r="N27" s="446">
        <f t="shared" si="1"/>
        <v>0</v>
      </c>
      <c r="O27" s="446">
        <f t="shared" si="2"/>
        <v>0</v>
      </c>
      <c r="P27" s="449"/>
    </row>
    <row r="28" spans="2:16">
      <c r="B28" s="7" t="str">
        <f t="shared" si="6"/>
        <v/>
      </c>
      <c r="C28" s="464">
        <f>IF(D11="","-",+C27+1)</f>
        <v>2032</v>
      </c>
      <c r="D28" s="466">
        <f>IF(F27+SUM(E$17:E27)=D$10,F27,D$10-SUM(E$17:E27))</f>
        <v>1370805.1681125888</v>
      </c>
      <c r="E28" s="56">
        <f t="shared" si="13"/>
        <v>43399.928571428572</v>
      </c>
      <c r="F28" s="466">
        <f t="shared" si="14"/>
        <v>1327405.2395411602</v>
      </c>
      <c r="G28" s="470">
        <f t="shared" si="15"/>
        <v>188848.64132105032</v>
      </c>
      <c r="H28" s="467">
        <f t="shared" si="16"/>
        <v>188848.64132105032</v>
      </c>
      <c r="I28" s="468">
        <f t="shared" si="4"/>
        <v>0</v>
      </c>
      <c r="J28" s="468"/>
      <c r="K28" s="115"/>
      <c r="L28" s="446">
        <f t="shared" si="0"/>
        <v>0</v>
      </c>
      <c r="M28" s="115"/>
      <c r="N28" s="446">
        <f t="shared" si="1"/>
        <v>0</v>
      </c>
      <c r="O28" s="446">
        <f t="shared" si="2"/>
        <v>0</v>
      </c>
      <c r="P28" s="449"/>
    </row>
    <row r="29" spans="2:16">
      <c r="B29" s="7" t="str">
        <f t="shared" si="6"/>
        <v/>
      </c>
      <c r="C29" s="464">
        <f>IF(D11="","-",+C28+1)</f>
        <v>2033</v>
      </c>
      <c r="D29" s="466">
        <f>IF(F28+SUM(E$17:E28)=D$10,F28,D$10-SUM(E$17:E28))</f>
        <v>1327405.2395411602</v>
      </c>
      <c r="E29" s="56">
        <f t="shared" si="13"/>
        <v>43399.928571428572</v>
      </c>
      <c r="F29" s="466">
        <f t="shared" si="14"/>
        <v>1284005.3109697315</v>
      </c>
      <c r="G29" s="470">
        <f t="shared" si="15"/>
        <v>184169.64095381886</v>
      </c>
      <c r="H29" s="467">
        <f t="shared" si="16"/>
        <v>184169.64095381886</v>
      </c>
      <c r="I29" s="468">
        <f t="shared" si="4"/>
        <v>0</v>
      </c>
      <c r="J29" s="468"/>
      <c r="K29" s="115"/>
      <c r="L29" s="446">
        <f t="shared" si="0"/>
        <v>0</v>
      </c>
      <c r="M29" s="115"/>
      <c r="N29" s="446">
        <f t="shared" si="1"/>
        <v>0</v>
      </c>
      <c r="O29" s="446">
        <f t="shared" si="2"/>
        <v>0</v>
      </c>
      <c r="P29" s="449"/>
    </row>
    <row r="30" spans="2:16">
      <c r="B30" s="7" t="str">
        <f t="shared" si="6"/>
        <v/>
      </c>
      <c r="C30" s="464">
        <f>IF(D11="","-",+C29+1)</f>
        <v>2034</v>
      </c>
      <c r="D30" s="466">
        <f>IF(F29+SUM(E$17:E29)=D$10,F29,D$10-SUM(E$17:E29))</f>
        <v>1284005.3109697315</v>
      </c>
      <c r="E30" s="56">
        <f t="shared" si="13"/>
        <v>43399.928571428572</v>
      </c>
      <c r="F30" s="466">
        <f t="shared" si="14"/>
        <v>1240605.3823983029</v>
      </c>
      <c r="G30" s="470">
        <f t="shared" si="15"/>
        <v>179490.6405865874</v>
      </c>
      <c r="H30" s="467">
        <f t="shared" si="16"/>
        <v>179490.6405865874</v>
      </c>
      <c r="I30" s="468">
        <f t="shared" si="4"/>
        <v>0</v>
      </c>
      <c r="J30" s="468"/>
      <c r="K30" s="115"/>
      <c r="L30" s="446">
        <f t="shared" si="0"/>
        <v>0</v>
      </c>
      <c r="M30" s="115"/>
      <c r="N30" s="446">
        <f t="shared" si="1"/>
        <v>0</v>
      </c>
      <c r="O30" s="446">
        <f t="shared" si="2"/>
        <v>0</v>
      </c>
      <c r="P30" s="449"/>
    </row>
    <row r="31" spans="2:16">
      <c r="B31" s="7" t="str">
        <f t="shared" si="6"/>
        <v/>
      </c>
      <c r="C31" s="464">
        <f>IF(D11="","-",+C30+1)</f>
        <v>2035</v>
      </c>
      <c r="D31" s="466">
        <f>IF(F30+SUM(E$17:E30)=D$10,F30,D$10-SUM(E$17:E30))</f>
        <v>1240605.3823983029</v>
      </c>
      <c r="E31" s="56">
        <f t="shared" si="13"/>
        <v>43399.928571428572</v>
      </c>
      <c r="F31" s="466">
        <f t="shared" si="14"/>
        <v>1197205.4538268743</v>
      </c>
      <c r="G31" s="470">
        <f t="shared" si="15"/>
        <v>174811.64021935593</v>
      </c>
      <c r="H31" s="467">
        <f t="shared" si="16"/>
        <v>174811.64021935593</v>
      </c>
      <c r="I31" s="468">
        <f t="shared" si="4"/>
        <v>0</v>
      </c>
      <c r="J31" s="468"/>
      <c r="K31" s="115"/>
      <c r="L31" s="446">
        <f t="shared" si="0"/>
        <v>0</v>
      </c>
      <c r="M31" s="115"/>
      <c r="N31" s="446">
        <f t="shared" si="1"/>
        <v>0</v>
      </c>
      <c r="O31" s="446">
        <f t="shared" si="2"/>
        <v>0</v>
      </c>
      <c r="P31" s="449"/>
    </row>
    <row r="32" spans="2:16">
      <c r="B32" s="7" t="str">
        <f t="shared" si="6"/>
        <v/>
      </c>
      <c r="C32" s="464">
        <f>IF(D11="","-",+C31+1)</f>
        <v>2036</v>
      </c>
      <c r="D32" s="466">
        <f>IF(F31+SUM(E$17:E31)=D$10,F31,D$10-SUM(E$17:E31))</f>
        <v>1197205.4538268743</v>
      </c>
      <c r="E32" s="56">
        <f t="shared" si="13"/>
        <v>43399.928571428572</v>
      </c>
      <c r="F32" s="466">
        <f t="shared" si="14"/>
        <v>1153805.5252554456</v>
      </c>
      <c r="G32" s="470">
        <f t="shared" si="15"/>
        <v>170132.63985212444</v>
      </c>
      <c r="H32" s="467">
        <f t="shared" si="16"/>
        <v>170132.63985212444</v>
      </c>
      <c r="I32" s="468">
        <f t="shared" si="4"/>
        <v>0</v>
      </c>
      <c r="J32" s="468"/>
      <c r="K32" s="115"/>
      <c r="L32" s="446">
        <f t="shared" si="0"/>
        <v>0</v>
      </c>
      <c r="M32" s="115"/>
      <c r="N32" s="446">
        <f t="shared" si="1"/>
        <v>0</v>
      </c>
      <c r="O32" s="446">
        <f t="shared" si="2"/>
        <v>0</v>
      </c>
      <c r="P32" s="449"/>
    </row>
    <row r="33" spans="2:16">
      <c r="B33" s="7" t="str">
        <f t="shared" si="6"/>
        <v/>
      </c>
      <c r="C33" s="464">
        <f>IF(D11="","-",+C32+1)</f>
        <v>2037</v>
      </c>
      <c r="D33" s="466">
        <f>IF(F32+SUM(E$17:E32)=D$10,F32,D$10-SUM(E$17:E32))</f>
        <v>1153805.5252554456</v>
      </c>
      <c r="E33" s="56">
        <f t="shared" si="13"/>
        <v>43399.928571428572</v>
      </c>
      <c r="F33" s="466">
        <f t="shared" si="14"/>
        <v>1110405.596684017</v>
      </c>
      <c r="G33" s="470">
        <f t="shared" si="15"/>
        <v>165453.63948489298</v>
      </c>
      <c r="H33" s="467">
        <f t="shared" si="16"/>
        <v>165453.63948489298</v>
      </c>
      <c r="I33" s="468">
        <f t="shared" si="4"/>
        <v>0</v>
      </c>
      <c r="J33" s="468"/>
      <c r="K33" s="115"/>
      <c r="L33" s="446">
        <f t="shared" si="0"/>
        <v>0</v>
      </c>
      <c r="M33" s="115"/>
      <c r="N33" s="446">
        <f t="shared" si="1"/>
        <v>0</v>
      </c>
      <c r="O33" s="446">
        <f t="shared" si="2"/>
        <v>0</v>
      </c>
      <c r="P33" s="449"/>
    </row>
    <row r="34" spans="2:16">
      <c r="B34" s="7" t="str">
        <f t="shared" si="6"/>
        <v/>
      </c>
      <c r="C34" s="464">
        <f>IF(D11="","-",+C33+1)</f>
        <v>2038</v>
      </c>
      <c r="D34" s="466">
        <f>IF(F33+SUM(E$17:E33)=D$10,F33,D$10-SUM(E$17:E33))</f>
        <v>1110405.596684017</v>
      </c>
      <c r="E34" s="56">
        <f t="shared" si="13"/>
        <v>43399.928571428572</v>
      </c>
      <c r="F34" s="466">
        <f t="shared" si="14"/>
        <v>1067005.6681125883</v>
      </c>
      <c r="G34" s="470">
        <f t="shared" si="15"/>
        <v>160774.63911766151</v>
      </c>
      <c r="H34" s="467">
        <f t="shared" si="16"/>
        <v>160774.63911766151</v>
      </c>
      <c r="I34" s="468">
        <f t="shared" si="4"/>
        <v>0</v>
      </c>
      <c r="J34" s="468"/>
      <c r="K34" s="115"/>
      <c r="L34" s="446">
        <f t="shared" si="0"/>
        <v>0</v>
      </c>
      <c r="M34" s="115"/>
      <c r="N34" s="446">
        <f t="shared" si="1"/>
        <v>0</v>
      </c>
      <c r="O34" s="446">
        <f t="shared" si="2"/>
        <v>0</v>
      </c>
      <c r="P34" s="449"/>
    </row>
    <row r="35" spans="2:16">
      <c r="B35" s="7" t="str">
        <f t="shared" si="6"/>
        <v/>
      </c>
      <c r="C35" s="464">
        <f>IF(D11="","-",+C34+1)</f>
        <v>2039</v>
      </c>
      <c r="D35" s="466">
        <f>IF(F34+SUM(E$17:E34)=D$10,F34,D$10-SUM(E$17:E34))</f>
        <v>1067005.6681125883</v>
      </c>
      <c r="E35" s="56">
        <f t="shared" si="13"/>
        <v>43399.928571428572</v>
      </c>
      <c r="F35" s="466">
        <f t="shared" si="14"/>
        <v>1023605.7395411598</v>
      </c>
      <c r="G35" s="470">
        <f t="shared" si="15"/>
        <v>156095.63875043005</v>
      </c>
      <c r="H35" s="467">
        <f t="shared" si="16"/>
        <v>156095.63875043005</v>
      </c>
      <c r="I35" s="468">
        <f t="shared" si="4"/>
        <v>0</v>
      </c>
      <c r="J35" s="468"/>
      <c r="K35" s="115"/>
      <c r="L35" s="446">
        <f t="shared" si="0"/>
        <v>0</v>
      </c>
      <c r="M35" s="115"/>
      <c r="N35" s="446">
        <f t="shared" si="1"/>
        <v>0</v>
      </c>
      <c r="O35" s="446">
        <f t="shared" si="2"/>
        <v>0</v>
      </c>
      <c r="P35" s="449"/>
    </row>
    <row r="36" spans="2:16">
      <c r="B36" s="7" t="str">
        <f t="shared" si="6"/>
        <v/>
      </c>
      <c r="C36" s="464">
        <f>IF(D11="","-",+C35+1)</f>
        <v>2040</v>
      </c>
      <c r="D36" s="466">
        <f>IF(F35+SUM(E$17:E35)=D$10,F35,D$10-SUM(E$17:E35))</f>
        <v>1023605.7395411598</v>
      </c>
      <c r="E36" s="56">
        <f t="shared" si="13"/>
        <v>43399.928571428572</v>
      </c>
      <c r="F36" s="466">
        <f t="shared" si="14"/>
        <v>980205.8109697313</v>
      </c>
      <c r="G36" s="470">
        <f t="shared" si="15"/>
        <v>151416.63838319862</v>
      </c>
      <c r="H36" s="467">
        <f t="shared" si="16"/>
        <v>151416.63838319862</v>
      </c>
      <c r="I36" s="468">
        <f t="shared" si="4"/>
        <v>0</v>
      </c>
      <c r="J36" s="468"/>
      <c r="K36" s="115"/>
      <c r="L36" s="446">
        <f t="shared" si="0"/>
        <v>0</v>
      </c>
      <c r="M36" s="115"/>
      <c r="N36" s="446">
        <f t="shared" si="1"/>
        <v>0</v>
      </c>
      <c r="O36" s="446">
        <f t="shared" si="2"/>
        <v>0</v>
      </c>
      <c r="P36" s="449"/>
    </row>
    <row r="37" spans="2:16">
      <c r="B37" s="7" t="str">
        <f t="shared" si="6"/>
        <v/>
      </c>
      <c r="C37" s="464">
        <f>IF(D11="","-",+C36+1)</f>
        <v>2041</v>
      </c>
      <c r="D37" s="466">
        <f>IF(F36+SUM(E$17:E36)=D$10,F36,D$10-SUM(E$17:E36))</f>
        <v>980205.8109697313</v>
      </c>
      <c r="E37" s="56">
        <f t="shared" si="13"/>
        <v>43399.928571428572</v>
      </c>
      <c r="F37" s="466">
        <f t="shared" si="14"/>
        <v>936805.88239830278</v>
      </c>
      <c r="G37" s="470">
        <f t="shared" si="15"/>
        <v>146737.63801596715</v>
      </c>
      <c r="H37" s="467">
        <f t="shared" si="16"/>
        <v>146737.63801596715</v>
      </c>
      <c r="I37" s="468">
        <f t="shared" si="4"/>
        <v>0</v>
      </c>
      <c r="J37" s="468"/>
      <c r="K37" s="115"/>
      <c r="L37" s="446">
        <f t="shared" si="0"/>
        <v>0</v>
      </c>
      <c r="M37" s="115"/>
      <c r="N37" s="446">
        <f t="shared" si="1"/>
        <v>0</v>
      </c>
      <c r="O37" s="446">
        <f t="shared" si="2"/>
        <v>0</v>
      </c>
      <c r="P37" s="449"/>
    </row>
    <row r="38" spans="2:16">
      <c r="B38" s="7" t="str">
        <f t="shared" si="6"/>
        <v/>
      </c>
      <c r="C38" s="464">
        <f>IF(D11="","-",+C37+1)</f>
        <v>2042</v>
      </c>
      <c r="D38" s="466">
        <f>IF(F37+SUM(E$17:E37)=D$10,F37,D$10-SUM(E$17:E37))</f>
        <v>936805.88239830278</v>
      </c>
      <c r="E38" s="56">
        <f t="shared" si="13"/>
        <v>43399.928571428572</v>
      </c>
      <c r="F38" s="466">
        <f t="shared" si="14"/>
        <v>893405.95382687426</v>
      </c>
      <c r="G38" s="470">
        <f t="shared" si="15"/>
        <v>142058.63764873572</v>
      </c>
      <c r="H38" s="467">
        <f t="shared" si="16"/>
        <v>142058.63764873572</v>
      </c>
      <c r="I38" s="468">
        <f t="shared" si="4"/>
        <v>0</v>
      </c>
      <c r="J38" s="468"/>
      <c r="K38" s="115"/>
      <c r="L38" s="446">
        <f t="shared" si="0"/>
        <v>0</v>
      </c>
      <c r="M38" s="115"/>
      <c r="N38" s="446">
        <f t="shared" si="1"/>
        <v>0</v>
      </c>
      <c r="O38" s="446">
        <f t="shared" si="2"/>
        <v>0</v>
      </c>
      <c r="P38" s="449"/>
    </row>
    <row r="39" spans="2:16">
      <c r="B39" s="7" t="str">
        <f t="shared" si="6"/>
        <v/>
      </c>
      <c r="C39" s="464">
        <f>IF(D11="","-",+C38+1)</f>
        <v>2043</v>
      </c>
      <c r="D39" s="466">
        <f>IF(F38+SUM(E$17:E38)=D$10,F38,D$10-SUM(E$17:E38))</f>
        <v>893405.95382687426</v>
      </c>
      <c r="E39" s="56">
        <f t="shared" si="13"/>
        <v>43399.928571428572</v>
      </c>
      <c r="F39" s="466">
        <f t="shared" si="14"/>
        <v>850006.02525544574</v>
      </c>
      <c r="G39" s="470">
        <f t="shared" si="15"/>
        <v>137379.63728150426</v>
      </c>
      <c r="H39" s="467">
        <f t="shared" si="16"/>
        <v>137379.63728150426</v>
      </c>
      <c r="I39" s="468">
        <f t="shared" si="4"/>
        <v>0</v>
      </c>
      <c r="J39" s="468"/>
      <c r="K39" s="115"/>
      <c r="L39" s="446">
        <f t="shared" si="0"/>
        <v>0</v>
      </c>
      <c r="M39" s="115"/>
      <c r="N39" s="446">
        <f t="shared" si="1"/>
        <v>0</v>
      </c>
      <c r="O39" s="446">
        <f t="shared" si="2"/>
        <v>0</v>
      </c>
      <c r="P39" s="449"/>
    </row>
    <row r="40" spans="2:16">
      <c r="B40" s="7" t="str">
        <f t="shared" si="6"/>
        <v/>
      </c>
      <c r="C40" s="464">
        <f>IF(D11="","-",+C39+1)</f>
        <v>2044</v>
      </c>
      <c r="D40" s="466">
        <f>IF(F39+SUM(E$17:E39)=D$10,F39,D$10-SUM(E$17:E39))</f>
        <v>850006.02525544574</v>
      </c>
      <c r="E40" s="56">
        <f t="shared" si="13"/>
        <v>43399.928571428572</v>
      </c>
      <c r="F40" s="466">
        <f t="shared" si="14"/>
        <v>806606.09668401722</v>
      </c>
      <c r="G40" s="470">
        <f t="shared" si="15"/>
        <v>132700.63691427282</v>
      </c>
      <c r="H40" s="467">
        <f t="shared" si="16"/>
        <v>132700.63691427282</v>
      </c>
      <c r="I40" s="468">
        <f t="shared" si="4"/>
        <v>0</v>
      </c>
      <c r="J40" s="468"/>
      <c r="K40" s="115"/>
      <c r="L40" s="446">
        <f t="shared" si="0"/>
        <v>0</v>
      </c>
      <c r="M40" s="115"/>
      <c r="N40" s="446">
        <f t="shared" si="1"/>
        <v>0</v>
      </c>
      <c r="O40" s="446">
        <f t="shared" si="2"/>
        <v>0</v>
      </c>
      <c r="P40" s="449"/>
    </row>
    <row r="41" spans="2:16">
      <c r="B41" s="7" t="str">
        <f t="shared" si="6"/>
        <v/>
      </c>
      <c r="C41" s="464">
        <f>IF(D11="","-",+C40+1)</f>
        <v>2045</v>
      </c>
      <c r="D41" s="466">
        <f>IF(F40+SUM(E$17:E40)=D$10,F40,D$10-SUM(E$17:E40))</f>
        <v>806606.09668401722</v>
      </c>
      <c r="E41" s="56">
        <f t="shared" si="13"/>
        <v>43399.928571428572</v>
      </c>
      <c r="F41" s="466">
        <f t="shared" si="14"/>
        <v>763206.1681125887</v>
      </c>
      <c r="G41" s="470">
        <f t="shared" si="15"/>
        <v>128021.63654704136</v>
      </c>
      <c r="H41" s="467">
        <f t="shared" si="16"/>
        <v>128021.63654704136</v>
      </c>
      <c r="I41" s="468">
        <f t="shared" si="4"/>
        <v>0</v>
      </c>
      <c r="J41" s="468"/>
      <c r="K41" s="115"/>
      <c r="L41" s="446">
        <f t="shared" si="0"/>
        <v>0</v>
      </c>
      <c r="M41" s="115"/>
      <c r="N41" s="446">
        <f t="shared" si="1"/>
        <v>0</v>
      </c>
      <c r="O41" s="446">
        <f t="shared" si="2"/>
        <v>0</v>
      </c>
      <c r="P41" s="449"/>
    </row>
    <row r="42" spans="2:16">
      <c r="B42" s="7" t="str">
        <f t="shared" si="6"/>
        <v/>
      </c>
      <c r="C42" s="464">
        <f>IF(D11="","-",+C41+1)</f>
        <v>2046</v>
      </c>
      <c r="D42" s="466">
        <f>IF(F41+SUM(E$17:E41)=D$10,F41,D$10-SUM(E$17:E41))</f>
        <v>763206.1681125887</v>
      </c>
      <c r="E42" s="56">
        <f t="shared" si="13"/>
        <v>43399.928571428572</v>
      </c>
      <c r="F42" s="466">
        <f t="shared" si="14"/>
        <v>719806.23954116018</v>
      </c>
      <c r="G42" s="470">
        <f t="shared" si="15"/>
        <v>123342.6361798099</v>
      </c>
      <c r="H42" s="467">
        <f t="shared" si="16"/>
        <v>123342.6361798099</v>
      </c>
      <c r="I42" s="468">
        <f t="shared" si="4"/>
        <v>0</v>
      </c>
      <c r="J42" s="468"/>
      <c r="K42" s="115"/>
      <c r="L42" s="446">
        <f t="shared" si="0"/>
        <v>0</v>
      </c>
      <c r="M42" s="115"/>
      <c r="N42" s="446">
        <f t="shared" si="1"/>
        <v>0</v>
      </c>
      <c r="O42" s="446">
        <f t="shared" si="2"/>
        <v>0</v>
      </c>
      <c r="P42" s="449"/>
    </row>
    <row r="43" spans="2:16">
      <c r="B43" s="7" t="str">
        <f t="shared" si="6"/>
        <v/>
      </c>
      <c r="C43" s="464">
        <f>IF(D11="","-",+C42+1)</f>
        <v>2047</v>
      </c>
      <c r="D43" s="466">
        <f>IF(F42+SUM(E$17:E42)=D$10,F42,D$10-SUM(E$17:E42))</f>
        <v>719806.23954116018</v>
      </c>
      <c r="E43" s="56">
        <f t="shared" si="13"/>
        <v>43399.928571428572</v>
      </c>
      <c r="F43" s="466">
        <f t="shared" si="14"/>
        <v>676406.31096973165</v>
      </c>
      <c r="G43" s="470">
        <f t="shared" si="15"/>
        <v>118663.63581257843</v>
      </c>
      <c r="H43" s="467">
        <f t="shared" si="16"/>
        <v>118663.63581257843</v>
      </c>
      <c r="I43" s="468">
        <f t="shared" si="4"/>
        <v>0</v>
      </c>
      <c r="J43" s="468"/>
      <c r="K43" s="115"/>
      <c r="L43" s="446">
        <f t="shared" si="0"/>
        <v>0</v>
      </c>
      <c r="M43" s="115"/>
      <c r="N43" s="446">
        <f t="shared" si="1"/>
        <v>0</v>
      </c>
      <c r="O43" s="446">
        <f t="shared" si="2"/>
        <v>0</v>
      </c>
      <c r="P43" s="449"/>
    </row>
    <row r="44" spans="2:16">
      <c r="B44" s="7" t="str">
        <f t="shared" si="6"/>
        <v/>
      </c>
      <c r="C44" s="464">
        <f>IF(D11="","-",+C43+1)</f>
        <v>2048</v>
      </c>
      <c r="D44" s="466">
        <f>IF(F43+SUM(E$17:E43)=D$10,F43,D$10-SUM(E$17:E43))</f>
        <v>676406.31096973165</v>
      </c>
      <c r="E44" s="56">
        <f t="shared" si="13"/>
        <v>43399.928571428572</v>
      </c>
      <c r="F44" s="466">
        <f t="shared" si="14"/>
        <v>633006.38239830313</v>
      </c>
      <c r="G44" s="470">
        <f t="shared" si="15"/>
        <v>113984.635445347</v>
      </c>
      <c r="H44" s="467">
        <f t="shared" si="16"/>
        <v>113984.635445347</v>
      </c>
      <c r="I44" s="468">
        <f t="shared" si="4"/>
        <v>0</v>
      </c>
      <c r="J44" s="468"/>
      <c r="K44" s="115"/>
      <c r="L44" s="446">
        <f t="shared" si="0"/>
        <v>0</v>
      </c>
      <c r="M44" s="115"/>
      <c r="N44" s="446">
        <f t="shared" si="1"/>
        <v>0</v>
      </c>
      <c r="O44" s="446">
        <f t="shared" si="2"/>
        <v>0</v>
      </c>
      <c r="P44" s="449"/>
    </row>
    <row r="45" spans="2:16">
      <c r="B45" s="7" t="str">
        <f t="shared" si="6"/>
        <v/>
      </c>
      <c r="C45" s="464">
        <f>IF(D11="","-",+C44+1)</f>
        <v>2049</v>
      </c>
      <c r="D45" s="466">
        <f>IF(F44+SUM(E$17:E44)=D$10,F44,D$10-SUM(E$17:E44))</f>
        <v>633006.38239830313</v>
      </c>
      <c r="E45" s="56">
        <f t="shared" si="13"/>
        <v>43399.928571428572</v>
      </c>
      <c r="F45" s="466">
        <f t="shared" si="14"/>
        <v>589606.45382687461</v>
      </c>
      <c r="G45" s="470">
        <f t="shared" si="15"/>
        <v>109305.63507811553</v>
      </c>
      <c r="H45" s="467">
        <f t="shared" si="16"/>
        <v>109305.63507811553</v>
      </c>
      <c r="I45" s="468">
        <f t="shared" si="4"/>
        <v>0</v>
      </c>
      <c r="J45" s="468"/>
      <c r="K45" s="115"/>
      <c r="L45" s="446">
        <f t="shared" si="0"/>
        <v>0</v>
      </c>
      <c r="M45" s="115"/>
      <c r="N45" s="446">
        <f t="shared" si="1"/>
        <v>0</v>
      </c>
      <c r="O45" s="446">
        <f t="shared" si="2"/>
        <v>0</v>
      </c>
      <c r="P45" s="449"/>
    </row>
    <row r="46" spans="2:16">
      <c r="B46" s="7" t="str">
        <f t="shared" si="6"/>
        <v/>
      </c>
      <c r="C46" s="464">
        <f>IF(D11="","-",+C45+1)</f>
        <v>2050</v>
      </c>
      <c r="D46" s="466">
        <f>IF(F45+SUM(E$17:E45)=D$10,F45,D$10-SUM(E$17:E45))</f>
        <v>589606.45382687461</v>
      </c>
      <c r="E46" s="56">
        <f t="shared" si="13"/>
        <v>43399.928571428572</v>
      </c>
      <c r="F46" s="466">
        <f t="shared" si="14"/>
        <v>546206.52525544609</v>
      </c>
      <c r="G46" s="470">
        <f t="shared" si="15"/>
        <v>104626.6347108841</v>
      </c>
      <c r="H46" s="467">
        <f t="shared" si="16"/>
        <v>104626.6347108841</v>
      </c>
      <c r="I46" s="468">
        <f t="shared" si="4"/>
        <v>0</v>
      </c>
      <c r="J46" s="468"/>
      <c r="K46" s="115"/>
      <c r="L46" s="446">
        <f t="shared" si="0"/>
        <v>0</v>
      </c>
      <c r="M46" s="115"/>
      <c r="N46" s="446">
        <f t="shared" si="1"/>
        <v>0</v>
      </c>
      <c r="O46" s="446">
        <f t="shared" si="2"/>
        <v>0</v>
      </c>
      <c r="P46" s="449"/>
    </row>
    <row r="47" spans="2:16">
      <c r="B47" s="7" t="str">
        <f t="shared" si="6"/>
        <v/>
      </c>
      <c r="C47" s="464">
        <f>IF(D11="","-",+C46+1)</f>
        <v>2051</v>
      </c>
      <c r="D47" s="466">
        <f>IF(F46+SUM(E$17:E46)=D$10,F46,D$10-SUM(E$17:E46))</f>
        <v>546206.52525544609</v>
      </c>
      <c r="E47" s="56">
        <f t="shared" si="13"/>
        <v>43399.928571428572</v>
      </c>
      <c r="F47" s="466">
        <f t="shared" si="14"/>
        <v>502806.59668401751</v>
      </c>
      <c r="G47" s="470">
        <f t="shared" si="15"/>
        <v>99947.634343652637</v>
      </c>
      <c r="H47" s="467">
        <f t="shared" si="16"/>
        <v>99947.634343652637</v>
      </c>
      <c r="I47" s="468">
        <f t="shared" si="4"/>
        <v>0</v>
      </c>
      <c r="J47" s="468"/>
      <c r="K47" s="115"/>
      <c r="L47" s="446">
        <f t="shared" si="0"/>
        <v>0</v>
      </c>
      <c r="M47" s="115"/>
      <c r="N47" s="446">
        <f t="shared" si="1"/>
        <v>0</v>
      </c>
      <c r="O47" s="446">
        <f t="shared" si="2"/>
        <v>0</v>
      </c>
      <c r="P47" s="449"/>
    </row>
    <row r="48" spans="2:16">
      <c r="B48" s="7" t="str">
        <f t="shared" si="6"/>
        <v/>
      </c>
      <c r="C48" s="464">
        <f>IF(D11="","-",+C47+1)</f>
        <v>2052</v>
      </c>
      <c r="D48" s="466">
        <f>IF(F47+SUM(E$17:E47)=D$10,F47,D$10-SUM(E$17:E47))</f>
        <v>502806.59668401751</v>
      </c>
      <c r="E48" s="56">
        <f t="shared" si="13"/>
        <v>43399.928571428572</v>
      </c>
      <c r="F48" s="466">
        <f t="shared" si="14"/>
        <v>459406.66811258893</v>
      </c>
      <c r="G48" s="470">
        <f t="shared" si="15"/>
        <v>95268.633976421188</v>
      </c>
      <c r="H48" s="467">
        <f t="shared" si="16"/>
        <v>95268.633976421188</v>
      </c>
      <c r="I48" s="468">
        <f t="shared" si="4"/>
        <v>0</v>
      </c>
      <c r="J48" s="468"/>
      <c r="K48" s="115"/>
      <c r="L48" s="446">
        <f t="shared" si="0"/>
        <v>0</v>
      </c>
      <c r="M48" s="115"/>
      <c r="N48" s="446">
        <f t="shared" si="1"/>
        <v>0</v>
      </c>
      <c r="O48" s="446">
        <f t="shared" si="2"/>
        <v>0</v>
      </c>
      <c r="P48" s="449"/>
    </row>
    <row r="49" spans="2:16">
      <c r="B49" s="7" t="str">
        <f t="shared" si="6"/>
        <v/>
      </c>
      <c r="C49" s="464">
        <f>IF(D11="","-",+C48+1)</f>
        <v>2053</v>
      </c>
      <c r="D49" s="466">
        <f>IF(F48+SUM(E$17:E48)=D$10,F48,D$10-SUM(E$17:E48))</f>
        <v>459406.66811258893</v>
      </c>
      <c r="E49" s="56">
        <f t="shared" si="13"/>
        <v>43399.928571428572</v>
      </c>
      <c r="F49" s="466">
        <f t="shared" si="14"/>
        <v>416006.73954116035</v>
      </c>
      <c r="G49" s="470">
        <f t="shared" si="15"/>
        <v>90589.633609189725</v>
      </c>
      <c r="H49" s="467">
        <f t="shared" si="16"/>
        <v>90589.633609189725</v>
      </c>
      <c r="I49" s="468">
        <f t="shared" si="4"/>
        <v>0</v>
      </c>
      <c r="J49" s="468"/>
      <c r="K49" s="115"/>
      <c r="L49" s="446">
        <f t="shared" si="0"/>
        <v>0</v>
      </c>
      <c r="M49" s="115"/>
      <c r="N49" s="446">
        <f t="shared" si="1"/>
        <v>0</v>
      </c>
      <c r="O49" s="446">
        <f t="shared" si="2"/>
        <v>0</v>
      </c>
      <c r="P49" s="449"/>
    </row>
    <row r="50" spans="2:16">
      <c r="B50" s="7" t="str">
        <f t="shared" si="6"/>
        <v/>
      </c>
      <c r="C50" s="464">
        <f>IF(D11="","-",+C49+1)</f>
        <v>2054</v>
      </c>
      <c r="D50" s="466">
        <f>IF(F49+SUM(E$17:E49)=D$10,F49,D$10-SUM(E$17:E49))</f>
        <v>416006.73954116035</v>
      </c>
      <c r="E50" s="56">
        <f t="shared" si="13"/>
        <v>43399.928571428572</v>
      </c>
      <c r="F50" s="466">
        <f t="shared" si="14"/>
        <v>372606.81096973177</v>
      </c>
      <c r="G50" s="470">
        <f t="shared" si="15"/>
        <v>85910.633241958276</v>
      </c>
      <c r="H50" s="467">
        <f t="shared" si="16"/>
        <v>85910.633241958276</v>
      </c>
      <c r="I50" s="468">
        <f t="shared" si="4"/>
        <v>0</v>
      </c>
      <c r="J50" s="468"/>
      <c r="K50" s="115"/>
      <c r="L50" s="446">
        <f t="shared" si="0"/>
        <v>0</v>
      </c>
      <c r="M50" s="115"/>
      <c r="N50" s="446">
        <f t="shared" si="1"/>
        <v>0</v>
      </c>
      <c r="O50" s="446">
        <f t="shared" si="2"/>
        <v>0</v>
      </c>
      <c r="P50" s="449"/>
    </row>
    <row r="51" spans="2:16">
      <c r="B51" s="7" t="str">
        <f t="shared" si="6"/>
        <v/>
      </c>
      <c r="C51" s="464">
        <f>IF(D11="","-",+C50+1)</f>
        <v>2055</v>
      </c>
      <c r="D51" s="466">
        <f>IF(F50+SUM(E$17:E50)=D$10,F50,D$10-SUM(E$17:E50))</f>
        <v>372606.81096973177</v>
      </c>
      <c r="E51" s="56">
        <f t="shared" si="13"/>
        <v>43399.928571428572</v>
      </c>
      <c r="F51" s="466">
        <f t="shared" si="14"/>
        <v>329206.88239830319</v>
      </c>
      <c r="G51" s="470">
        <f t="shared" si="15"/>
        <v>81231.632874726813</v>
      </c>
      <c r="H51" s="467">
        <f t="shared" si="16"/>
        <v>81231.632874726813</v>
      </c>
      <c r="I51" s="468">
        <f t="shared" si="4"/>
        <v>0</v>
      </c>
      <c r="J51" s="468"/>
      <c r="K51" s="115"/>
      <c r="L51" s="446">
        <f t="shared" si="0"/>
        <v>0</v>
      </c>
      <c r="M51" s="115"/>
      <c r="N51" s="446">
        <f t="shared" si="1"/>
        <v>0</v>
      </c>
      <c r="O51" s="446">
        <f t="shared" si="2"/>
        <v>0</v>
      </c>
      <c r="P51" s="449"/>
    </row>
    <row r="52" spans="2:16">
      <c r="B52" s="7" t="str">
        <f t="shared" si="6"/>
        <v/>
      </c>
      <c r="C52" s="464">
        <f>IF(D11="","-",+C51+1)</f>
        <v>2056</v>
      </c>
      <c r="D52" s="466">
        <f>IF(F51+SUM(E$17:E51)=D$10,F51,D$10-SUM(E$17:E51))</f>
        <v>329206.88239830319</v>
      </c>
      <c r="E52" s="56">
        <f t="shared" si="13"/>
        <v>43399.928571428572</v>
      </c>
      <c r="F52" s="466">
        <f t="shared" si="14"/>
        <v>285806.95382687461</v>
      </c>
      <c r="G52" s="470">
        <f t="shared" si="15"/>
        <v>76552.632507495349</v>
      </c>
      <c r="H52" s="467">
        <f t="shared" si="16"/>
        <v>76552.632507495349</v>
      </c>
      <c r="I52" s="468">
        <f t="shared" si="4"/>
        <v>0</v>
      </c>
      <c r="J52" s="468"/>
      <c r="K52" s="115"/>
      <c r="L52" s="446">
        <f t="shared" si="0"/>
        <v>0</v>
      </c>
      <c r="M52" s="115"/>
      <c r="N52" s="446">
        <f t="shared" si="1"/>
        <v>0</v>
      </c>
      <c r="O52" s="446">
        <f t="shared" si="2"/>
        <v>0</v>
      </c>
      <c r="P52" s="449"/>
    </row>
    <row r="53" spans="2:16">
      <c r="B53" s="7" t="str">
        <f t="shared" si="6"/>
        <v/>
      </c>
      <c r="C53" s="464">
        <f>IF(D11="","-",+C52+1)</f>
        <v>2057</v>
      </c>
      <c r="D53" s="466">
        <f>IF(F52+SUM(E$17:E52)=D$10,F52,D$10-SUM(E$17:E52))</f>
        <v>285806.95382687461</v>
      </c>
      <c r="E53" s="56">
        <f t="shared" si="13"/>
        <v>43399.928571428572</v>
      </c>
      <c r="F53" s="466">
        <f t="shared" si="14"/>
        <v>242407.02525544603</v>
      </c>
      <c r="G53" s="470">
        <f t="shared" si="15"/>
        <v>71873.632140263886</v>
      </c>
      <c r="H53" s="467">
        <f t="shared" si="16"/>
        <v>71873.632140263886</v>
      </c>
      <c r="I53" s="468">
        <f t="shared" si="4"/>
        <v>0</v>
      </c>
      <c r="J53" s="468"/>
      <c r="K53" s="115"/>
      <c r="L53" s="446">
        <f t="shared" si="0"/>
        <v>0</v>
      </c>
      <c r="M53" s="115"/>
      <c r="N53" s="446">
        <f t="shared" si="1"/>
        <v>0</v>
      </c>
      <c r="O53" s="446">
        <f t="shared" si="2"/>
        <v>0</v>
      </c>
      <c r="P53" s="449"/>
    </row>
    <row r="54" spans="2:16">
      <c r="B54" s="7" t="str">
        <f t="shared" si="6"/>
        <v/>
      </c>
      <c r="C54" s="464">
        <f>IF(D11="","-",+C53+1)</f>
        <v>2058</v>
      </c>
      <c r="D54" s="466">
        <f>IF(F53+SUM(E$17:E53)=D$10,F53,D$10-SUM(E$17:E53))</f>
        <v>242407.02525544603</v>
      </c>
      <c r="E54" s="56">
        <f t="shared" si="13"/>
        <v>43399.928571428572</v>
      </c>
      <c r="F54" s="466">
        <f t="shared" si="14"/>
        <v>199007.09668401745</v>
      </c>
      <c r="G54" s="470">
        <f t="shared" si="15"/>
        <v>67194.631773032437</v>
      </c>
      <c r="H54" s="467">
        <f t="shared" si="16"/>
        <v>67194.631773032437</v>
      </c>
      <c r="I54" s="468">
        <f t="shared" si="4"/>
        <v>0</v>
      </c>
      <c r="J54" s="468"/>
      <c r="K54" s="115"/>
      <c r="L54" s="446">
        <f t="shared" si="0"/>
        <v>0</v>
      </c>
      <c r="M54" s="115"/>
      <c r="N54" s="446">
        <f t="shared" si="1"/>
        <v>0</v>
      </c>
      <c r="O54" s="446">
        <f t="shared" si="2"/>
        <v>0</v>
      </c>
      <c r="P54" s="449"/>
    </row>
    <row r="55" spans="2:16">
      <c r="B55" s="7" t="str">
        <f t="shared" si="6"/>
        <v/>
      </c>
      <c r="C55" s="464">
        <f>IF(D11="","-",+C54+1)</f>
        <v>2059</v>
      </c>
      <c r="D55" s="466">
        <f>IF(F54+SUM(E$17:E54)=D$10,F54,D$10-SUM(E$17:E54))</f>
        <v>199007.09668401745</v>
      </c>
      <c r="E55" s="56">
        <f t="shared" si="13"/>
        <v>43399.928571428572</v>
      </c>
      <c r="F55" s="466">
        <f t="shared" si="14"/>
        <v>155607.16811258887</v>
      </c>
      <c r="G55" s="470">
        <f t="shared" si="15"/>
        <v>62515.631405800974</v>
      </c>
      <c r="H55" s="467">
        <f t="shared" si="16"/>
        <v>62515.631405800974</v>
      </c>
      <c r="I55" s="468">
        <f t="shared" si="4"/>
        <v>0</v>
      </c>
      <c r="J55" s="468"/>
      <c r="K55" s="115"/>
      <c r="L55" s="446">
        <f t="shared" si="0"/>
        <v>0</v>
      </c>
      <c r="M55" s="115"/>
      <c r="N55" s="446">
        <f t="shared" si="1"/>
        <v>0</v>
      </c>
      <c r="O55" s="446">
        <f t="shared" si="2"/>
        <v>0</v>
      </c>
      <c r="P55" s="449"/>
    </row>
    <row r="56" spans="2:16">
      <c r="B56" s="7" t="str">
        <f t="shared" si="6"/>
        <v/>
      </c>
      <c r="C56" s="464">
        <f>IF(D11="","-",+C55+1)</f>
        <v>2060</v>
      </c>
      <c r="D56" s="466">
        <f>IF(F55+SUM(E$17:E55)=D$10,F55,D$10-SUM(E$17:E55))</f>
        <v>155607.16811258887</v>
      </c>
      <c r="E56" s="56">
        <f t="shared" si="13"/>
        <v>43399.928571428572</v>
      </c>
      <c r="F56" s="466">
        <f t="shared" si="14"/>
        <v>112207.23954116029</v>
      </c>
      <c r="G56" s="470">
        <f t="shared" si="15"/>
        <v>57836.631038569518</v>
      </c>
      <c r="H56" s="467">
        <f t="shared" si="16"/>
        <v>57836.631038569518</v>
      </c>
      <c r="I56" s="468">
        <f t="shared" si="4"/>
        <v>0</v>
      </c>
      <c r="J56" s="468"/>
      <c r="K56" s="115"/>
      <c r="L56" s="446">
        <f t="shared" si="0"/>
        <v>0</v>
      </c>
      <c r="M56" s="115"/>
      <c r="N56" s="446">
        <f t="shared" si="1"/>
        <v>0</v>
      </c>
      <c r="O56" s="446">
        <f t="shared" si="2"/>
        <v>0</v>
      </c>
      <c r="P56" s="449"/>
    </row>
    <row r="57" spans="2:16">
      <c r="B57" s="7" t="str">
        <f t="shared" si="6"/>
        <v/>
      </c>
      <c r="C57" s="464">
        <f>IF(D11="","-",+C56+1)</f>
        <v>2061</v>
      </c>
      <c r="D57" s="466">
        <f>IF(F56+SUM(E$17:E56)=D$10,F56,D$10-SUM(E$17:E56))</f>
        <v>112207.23954116029</v>
      </c>
      <c r="E57" s="56">
        <f t="shared" si="13"/>
        <v>43399.928571428572</v>
      </c>
      <c r="F57" s="466">
        <f t="shared" si="14"/>
        <v>68807.310969731712</v>
      </c>
      <c r="G57" s="470">
        <f t="shared" si="15"/>
        <v>53157.630671338062</v>
      </c>
      <c r="H57" s="467">
        <f t="shared" si="16"/>
        <v>53157.630671338062</v>
      </c>
      <c r="I57" s="468">
        <f t="shared" si="4"/>
        <v>0</v>
      </c>
      <c r="J57" s="468"/>
      <c r="K57" s="115"/>
      <c r="L57" s="446">
        <f t="shared" si="0"/>
        <v>0</v>
      </c>
      <c r="M57" s="115"/>
      <c r="N57" s="446">
        <f t="shared" si="1"/>
        <v>0</v>
      </c>
      <c r="O57" s="446">
        <f t="shared" si="2"/>
        <v>0</v>
      </c>
      <c r="P57" s="449"/>
    </row>
    <row r="58" spans="2:16">
      <c r="B58" s="7" t="str">
        <f t="shared" si="6"/>
        <v/>
      </c>
      <c r="C58" s="464">
        <f>IF(D11="","-",+C57+1)</f>
        <v>2062</v>
      </c>
      <c r="D58" s="466">
        <f>IF(F57+SUM(E$17:E57)=D$10,F57,D$10-SUM(E$17:E57))</f>
        <v>68807.310969731712</v>
      </c>
      <c r="E58" s="56">
        <f t="shared" si="13"/>
        <v>43399.928571428572</v>
      </c>
      <c r="F58" s="466">
        <f t="shared" si="14"/>
        <v>25407.38239830314</v>
      </c>
      <c r="G58" s="470">
        <f t="shared" si="15"/>
        <v>48478.630304106606</v>
      </c>
      <c r="H58" s="467">
        <f t="shared" si="16"/>
        <v>48478.630304106606</v>
      </c>
      <c r="I58" s="468">
        <f t="shared" si="4"/>
        <v>0</v>
      </c>
      <c r="J58" s="468"/>
      <c r="K58" s="115"/>
      <c r="L58" s="446">
        <f t="shared" si="0"/>
        <v>0</v>
      </c>
      <c r="M58" s="115"/>
      <c r="N58" s="446">
        <f t="shared" si="1"/>
        <v>0</v>
      </c>
      <c r="O58" s="446">
        <f t="shared" si="2"/>
        <v>0</v>
      </c>
      <c r="P58" s="449"/>
    </row>
    <row r="59" spans="2:16">
      <c r="B59" s="7" t="str">
        <f t="shared" si="6"/>
        <v/>
      </c>
      <c r="C59" s="464">
        <f>IF(D11="","-",+C58+1)</f>
        <v>2063</v>
      </c>
      <c r="D59" s="466">
        <f>IF(F58+SUM(E$17:E58)=D$10,F58,D$10-SUM(E$17:E58))</f>
        <v>25407.38239830314</v>
      </c>
      <c r="E59" s="56">
        <f t="shared" si="13"/>
        <v>25407.38239830314</v>
      </c>
      <c r="F59" s="466">
        <f t="shared" si="14"/>
        <v>0</v>
      </c>
      <c r="G59" s="470">
        <f t="shared" si="15"/>
        <v>26776.983172834291</v>
      </c>
      <c r="H59" s="467">
        <f t="shared" si="16"/>
        <v>26776.983172834291</v>
      </c>
      <c r="I59" s="468">
        <f t="shared" si="4"/>
        <v>0</v>
      </c>
      <c r="J59" s="468"/>
      <c r="K59" s="115"/>
      <c r="L59" s="446">
        <f t="shared" si="0"/>
        <v>0</v>
      </c>
      <c r="M59" s="115"/>
      <c r="N59" s="446">
        <f t="shared" si="1"/>
        <v>0</v>
      </c>
      <c r="O59" s="446">
        <f t="shared" si="2"/>
        <v>0</v>
      </c>
      <c r="P59" s="449"/>
    </row>
    <row r="60" spans="2:16">
      <c r="B60" s="7" t="str">
        <f t="shared" si="6"/>
        <v/>
      </c>
      <c r="C60" s="464">
        <f>IF(D11="","-",+C59+1)</f>
        <v>2064</v>
      </c>
      <c r="D60" s="466">
        <f>IF(F59+SUM(E$17:E59)=D$10,F59,D$10-SUM(E$17:E59))</f>
        <v>0</v>
      </c>
      <c r="E60" s="56">
        <f t="shared" si="13"/>
        <v>0</v>
      </c>
      <c r="F60" s="466">
        <f t="shared" si="14"/>
        <v>0</v>
      </c>
      <c r="G60" s="470">
        <f t="shared" si="15"/>
        <v>0</v>
      </c>
      <c r="H60" s="467">
        <f t="shared" si="16"/>
        <v>0</v>
      </c>
      <c r="I60" s="468">
        <f t="shared" si="4"/>
        <v>0</v>
      </c>
      <c r="J60" s="468"/>
      <c r="K60" s="115"/>
      <c r="L60" s="446">
        <f t="shared" si="0"/>
        <v>0</v>
      </c>
      <c r="M60" s="115"/>
      <c r="N60" s="446">
        <f t="shared" si="1"/>
        <v>0</v>
      </c>
      <c r="O60" s="446">
        <f t="shared" si="2"/>
        <v>0</v>
      </c>
      <c r="P60" s="449"/>
    </row>
    <row r="61" spans="2:16">
      <c r="B61" s="7" t="str">
        <f t="shared" si="6"/>
        <v/>
      </c>
      <c r="C61" s="464">
        <f>IF(D11="","-",+C60+1)</f>
        <v>2065</v>
      </c>
      <c r="D61" s="466">
        <f>IF(F60+SUM(E$17:E60)=D$10,F60,D$10-SUM(E$17:E60))</f>
        <v>0</v>
      </c>
      <c r="E61" s="56">
        <f t="shared" si="13"/>
        <v>0</v>
      </c>
      <c r="F61" s="466">
        <f t="shared" si="14"/>
        <v>0</v>
      </c>
      <c r="G61" s="470">
        <f t="shared" si="15"/>
        <v>0</v>
      </c>
      <c r="H61" s="467">
        <f t="shared" si="16"/>
        <v>0</v>
      </c>
      <c r="I61" s="468">
        <f t="shared" si="4"/>
        <v>0</v>
      </c>
      <c r="J61" s="468"/>
      <c r="K61" s="115"/>
      <c r="L61" s="446">
        <f t="shared" si="0"/>
        <v>0</v>
      </c>
      <c r="M61" s="115"/>
      <c r="N61" s="446">
        <f t="shared" si="1"/>
        <v>0</v>
      </c>
      <c r="O61" s="446">
        <f t="shared" si="2"/>
        <v>0</v>
      </c>
      <c r="P61" s="449"/>
    </row>
    <row r="62" spans="2:16">
      <c r="B62" s="7" t="str">
        <f t="shared" si="6"/>
        <v/>
      </c>
      <c r="C62" s="464">
        <f>IF(D11="","-",+C61+1)</f>
        <v>2066</v>
      </c>
      <c r="D62" s="466">
        <f>IF(F61+SUM(E$17:E61)=D$10,F61,D$10-SUM(E$17:E61))</f>
        <v>0</v>
      </c>
      <c r="E62" s="56">
        <f t="shared" si="13"/>
        <v>0</v>
      </c>
      <c r="F62" s="466">
        <f t="shared" si="14"/>
        <v>0</v>
      </c>
      <c r="G62" s="470">
        <f t="shared" si="15"/>
        <v>0</v>
      </c>
      <c r="H62" s="467">
        <f t="shared" si="16"/>
        <v>0</v>
      </c>
      <c r="I62" s="468">
        <f t="shared" si="4"/>
        <v>0</v>
      </c>
      <c r="J62" s="468"/>
      <c r="K62" s="115"/>
      <c r="L62" s="446">
        <f t="shared" si="0"/>
        <v>0</v>
      </c>
      <c r="M62" s="115"/>
      <c r="N62" s="446">
        <f t="shared" si="1"/>
        <v>0</v>
      </c>
      <c r="O62" s="446">
        <f t="shared" si="2"/>
        <v>0</v>
      </c>
      <c r="P62" s="449"/>
    </row>
    <row r="63" spans="2:16">
      <c r="B63" s="7" t="str">
        <f t="shared" si="6"/>
        <v/>
      </c>
      <c r="C63" s="464">
        <f>IF(D11="","-",+C62+1)</f>
        <v>2067</v>
      </c>
      <c r="D63" s="466">
        <f>IF(F62+SUM(E$17:E62)=D$10,F62,D$10-SUM(E$17:E62))</f>
        <v>0</v>
      </c>
      <c r="E63" s="56">
        <f t="shared" si="13"/>
        <v>0</v>
      </c>
      <c r="F63" s="466">
        <f t="shared" si="14"/>
        <v>0</v>
      </c>
      <c r="G63" s="470">
        <f t="shared" si="15"/>
        <v>0</v>
      </c>
      <c r="H63" s="467">
        <f t="shared" si="16"/>
        <v>0</v>
      </c>
      <c r="I63" s="468">
        <f t="shared" si="4"/>
        <v>0</v>
      </c>
      <c r="J63" s="468"/>
      <c r="K63" s="115"/>
      <c r="L63" s="446">
        <f t="shared" si="0"/>
        <v>0</v>
      </c>
      <c r="M63" s="115"/>
      <c r="N63" s="446">
        <f t="shared" si="1"/>
        <v>0</v>
      </c>
      <c r="O63" s="446">
        <f t="shared" si="2"/>
        <v>0</v>
      </c>
      <c r="P63" s="449"/>
    </row>
    <row r="64" spans="2:16">
      <c r="B64" s="7" t="str">
        <f t="shared" si="6"/>
        <v/>
      </c>
      <c r="C64" s="464">
        <f>IF(D11="","-",+C63+1)</f>
        <v>2068</v>
      </c>
      <c r="D64" s="466">
        <f>IF(F63+SUM(E$17:E63)=D$10,F63,D$10-SUM(E$17:E63))</f>
        <v>0</v>
      </c>
      <c r="E64" s="56">
        <f t="shared" si="13"/>
        <v>0</v>
      </c>
      <c r="F64" s="466">
        <f t="shared" si="14"/>
        <v>0</v>
      </c>
      <c r="G64" s="470">
        <f t="shared" si="15"/>
        <v>0</v>
      </c>
      <c r="H64" s="467">
        <f t="shared" si="16"/>
        <v>0</v>
      </c>
      <c r="I64" s="468">
        <f t="shared" si="4"/>
        <v>0</v>
      </c>
      <c r="J64" s="468"/>
      <c r="K64" s="115"/>
      <c r="L64" s="446">
        <f t="shared" si="0"/>
        <v>0</v>
      </c>
      <c r="M64" s="115"/>
      <c r="N64" s="446">
        <f t="shared" si="1"/>
        <v>0</v>
      </c>
      <c r="O64" s="446">
        <f t="shared" si="2"/>
        <v>0</v>
      </c>
      <c r="P64" s="449"/>
    </row>
    <row r="65" spans="2:16">
      <c r="B65" s="7" t="str">
        <f t="shared" si="6"/>
        <v/>
      </c>
      <c r="C65" s="464">
        <f>IF(D11="","-",+C64+1)</f>
        <v>2069</v>
      </c>
      <c r="D65" s="466">
        <f>IF(F64+SUM(E$17:E64)=D$10,F64,D$10-SUM(E$17:E64))</f>
        <v>0</v>
      </c>
      <c r="E65" s="56">
        <f t="shared" si="13"/>
        <v>0</v>
      </c>
      <c r="F65" s="466">
        <f t="shared" si="14"/>
        <v>0</v>
      </c>
      <c r="G65" s="470">
        <f t="shared" si="15"/>
        <v>0</v>
      </c>
      <c r="H65" s="467">
        <f t="shared" si="16"/>
        <v>0</v>
      </c>
      <c r="I65" s="468">
        <f t="shared" si="4"/>
        <v>0</v>
      </c>
      <c r="J65" s="468"/>
      <c r="K65" s="115"/>
      <c r="L65" s="446">
        <f t="shared" si="0"/>
        <v>0</v>
      </c>
      <c r="M65" s="115"/>
      <c r="N65" s="446">
        <f t="shared" si="1"/>
        <v>0</v>
      </c>
      <c r="O65" s="446">
        <f t="shared" si="2"/>
        <v>0</v>
      </c>
      <c r="P65" s="449"/>
    </row>
    <row r="66" spans="2:16">
      <c r="B66" s="7" t="str">
        <f t="shared" si="6"/>
        <v/>
      </c>
      <c r="C66" s="464">
        <f>IF(D11="","-",+C65+1)</f>
        <v>2070</v>
      </c>
      <c r="D66" s="466">
        <f>IF(F65+SUM(E$17:E65)=D$10,F65,D$10-SUM(E$17:E65))</f>
        <v>0</v>
      </c>
      <c r="E66" s="56">
        <f t="shared" si="13"/>
        <v>0</v>
      </c>
      <c r="F66" s="466">
        <f t="shared" si="14"/>
        <v>0</v>
      </c>
      <c r="G66" s="470">
        <f t="shared" si="15"/>
        <v>0</v>
      </c>
      <c r="H66" s="467">
        <f t="shared" si="16"/>
        <v>0</v>
      </c>
      <c r="I66" s="468">
        <f t="shared" si="4"/>
        <v>0</v>
      </c>
      <c r="J66" s="468"/>
      <c r="K66" s="115"/>
      <c r="L66" s="446">
        <f t="shared" si="0"/>
        <v>0</v>
      </c>
      <c r="M66" s="115"/>
      <c r="N66" s="446">
        <f t="shared" si="1"/>
        <v>0</v>
      </c>
      <c r="O66" s="446">
        <f t="shared" si="2"/>
        <v>0</v>
      </c>
      <c r="P66" s="449"/>
    </row>
    <row r="67" spans="2:16">
      <c r="B67" s="7" t="str">
        <f t="shared" si="6"/>
        <v/>
      </c>
      <c r="C67" s="464">
        <f>IF(D11="","-",+C66+1)</f>
        <v>2071</v>
      </c>
      <c r="D67" s="466">
        <f>IF(F66+SUM(E$17:E66)=D$10,F66,D$10-SUM(E$17:E66))</f>
        <v>0</v>
      </c>
      <c r="E67" s="56">
        <f t="shared" si="13"/>
        <v>0</v>
      </c>
      <c r="F67" s="466">
        <f t="shared" si="14"/>
        <v>0</v>
      </c>
      <c r="G67" s="470">
        <f t="shared" si="15"/>
        <v>0</v>
      </c>
      <c r="H67" s="467">
        <f t="shared" si="16"/>
        <v>0</v>
      </c>
      <c r="I67" s="468">
        <f t="shared" si="4"/>
        <v>0</v>
      </c>
      <c r="J67" s="468"/>
      <c r="K67" s="115"/>
      <c r="L67" s="446">
        <f t="shared" si="0"/>
        <v>0</v>
      </c>
      <c r="M67" s="115"/>
      <c r="N67" s="446">
        <f t="shared" si="1"/>
        <v>0</v>
      </c>
      <c r="O67" s="446">
        <f t="shared" si="2"/>
        <v>0</v>
      </c>
      <c r="P67" s="449"/>
    </row>
    <row r="68" spans="2:16">
      <c r="B68" s="7" t="str">
        <f t="shared" si="6"/>
        <v/>
      </c>
      <c r="C68" s="464">
        <f>IF(D11="","-",+C67+1)</f>
        <v>2072</v>
      </c>
      <c r="D68" s="466">
        <f>IF(F67+SUM(E$17:E67)=D$10,F67,D$10-SUM(E$17:E67))</f>
        <v>0</v>
      </c>
      <c r="E68" s="56">
        <f t="shared" si="13"/>
        <v>0</v>
      </c>
      <c r="F68" s="466">
        <f t="shared" si="14"/>
        <v>0</v>
      </c>
      <c r="G68" s="470">
        <f t="shared" si="15"/>
        <v>0</v>
      </c>
      <c r="H68" s="467">
        <f t="shared" si="16"/>
        <v>0</v>
      </c>
      <c r="I68" s="468">
        <f t="shared" si="4"/>
        <v>0</v>
      </c>
      <c r="J68" s="468"/>
      <c r="K68" s="115"/>
      <c r="L68" s="446">
        <f t="shared" si="0"/>
        <v>0</v>
      </c>
      <c r="M68" s="115"/>
      <c r="N68" s="446">
        <f t="shared" si="1"/>
        <v>0</v>
      </c>
      <c r="O68" s="446">
        <f t="shared" si="2"/>
        <v>0</v>
      </c>
      <c r="P68" s="449"/>
    </row>
    <row r="69" spans="2:16">
      <c r="B69" s="7" t="str">
        <f t="shared" si="6"/>
        <v/>
      </c>
      <c r="C69" s="464">
        <f>IF(D11="","-",+C68+1)</f>
        <v>2073</v>
      </c>
      <c r="D69" s="466">
        <f>IF(F68+SUM(E$17:E68)=D$10,F68,D$10-SUM(E$17:E68))</f>
        <v>0</v>
      </c>
      <c r="E69" s="56">
        <f t="shared" si="13"/>
        <v>0</v>
      </c>
      <c r="F69" s="466">
        <f t="shared" si="14"/>
        <v>0</v>
      </c>
      <c r="G69" s="470">
        <f t="shared" si="15"/>
        <v>0</v>
      </c>
      <c r="H69" s="467">
        <f t="shared" si="16"/>
        <v>0</v>
      </c>
      <c r="I69" s="468">
        <f t="shared" si="4"/>
        <v>0</v>
      </c>
      <c r="J69" s="468"/>
      <c r="K69" s="115"/>
      <c r="L69" s="446">
        <f t="shared" si="0"/>
        <v>0</v>
      </c>
      <c r="M69" s="115"/>
      <c r="N69" s="446">
        <f t="shared" si="1"/>
        <v>0</v>
      </c>
      <c r="O69" s="446">
        <f t="shared" si="2"/>
        <v>0</v>
      </c>
      <c r="P69" s="449"/>
    </row>
    <row r="70" spans="2:16">
      <c r="B70" s="7" t="str">
        <f t="shared" si="6"/>
        <v/>
      </c>
      <c r="C70" s="464">
        <f>IF(D11="","-",+C69+1)</f>
        <v>2074</v>
      </c>
      <c r="D70" s="466">
        <f>IF(F69+SUM(E$17:E69)=D$10,F69,D$10-SUM(E$17:E69))</f>
        <v>0</v>
      </c>
      <c r="E70" s="56">
        <f t="shared" si="13"/>
        <v>0</v>
      </c>
      <c r="F70" s="466">
        <f t="shared" si="14"/>
        <v>0</v>
      </c>
      <c r="G70" s="470">
        <f t="shared" si="15"/>
        <v>0</v>
      </c>
      <c r="H70" s="467">
        <f t="shared" si="16"/>
        <v>0</v>
      </c>
      <c r="I70" s="468">
        <f t="shared" si="4"/>
        <v>0</v>
      </c>
      <c r="J70" s="468"/>
      <c r="K70" s="115"/>
      <c r="L70" s="446">
        <f t="shared" si="0"/>
        <v>0</v>
      </c>
      <c r="M70" s="115"/>
      <c r="N70" s="446">
        <f t="shared" si="1"/>
        <v>0</v>
      </c>
      <c r="O70" s="446">
        <f t="shared" si="2"/>
        <v>0</v>
      </c>
      <c r="P70" s="449"/>
    </row>
    <row r="71" spans="2:16">
      <c r="B71" s="7" t="str">
        <f t="shared" si="6"/>
        <v/>
      </c>
      <c r="C71" s="464">
        <f>IF(D11="","-",+C70+1)</f>
        <v>2075</v>
      </c>
      <c r="D71" s="466">
        <f>IF(F70+SUM(E$17:E70)=D$10,F70,D$10-SUM(E$17:E70))</f>
        <v>0</v>
      </c>
      <c r="E71" s="56">
        <f t="shared" si="13"/>
        <v>0</v>
      </c>
      <c r="F71" s="466">
        <f t="shared" si="14"/>
        <v>0</v>
      </c>
      <c r="G71" s="470">
        <f t="shared" si="15"/>
        <v>0</v>
      </c>
      <c r="H71" s="467">
        <f t="shared" si="16"/>
        <v>0</v>
      </c>
      <c r="I71" s="468">
        <f t="shared" si="4"/>
        <v>0</v>
      </c>
      <c r="J71" s="468"/>
      <c r="K71" s="115"/>
      <c r="L71" s="446">
        <f t="shared" si="0"/>
        <v>0</v>
      </c>
      <c r="M71" s="115"/>
      <c r="N71" s="446">
        <f t="shared" si="1"/>
        <v>0</v>
      </c>
      <c r="O71" s="446">
        <f t="shared" si="2"/>
        <v>0</v>
      </c>
      <c r="P71" s="449"/>
    </row>
    <row r="72" spans="2:16" ht="13.5" thickBot="1">
      <c r="B72" s="7" t="str">
        <f t="shared" si="6"/>
        <v/>
      </c>
      <c r="C72" s="471">
        <f>IF(D11="","-",+C71+1)</f>
        <v>2076</v>
      </c>
      <c r="D72" s="472">
        <f>IF(F71+SUM(E$17:E71)=D$10,F71,D$10-SUM(E$17:E71))</f>
        <v>0</v>
      </c>
      <c r="E72" s="357">
        <f>IF(+I$14&lt;F71,I$14,D72)</f>
        <v>0</v>
      </c>
      <c r="F72" s="472">
        <f>+D72-E72</f>
        <v>0</v>
      </c>
      <c r="G72" s="473">
        <f>(D72+F72)/2*I$12+E72</f>
        <v>0</v>
      </c>
      <c r="H72" s="456">
        <f>+(D72+F72)/2*I$13+E72</f>
        <v>0</v>
      </c>
      <c r="I72" s="474">
        <f>H72-G72</f>
        <v>0</v>
      </c>
      <c r="J72" s="468"/>
      <c r="K72" s="116"/>
      <c r="L72" s="475">
        <f t="shared" si="0"/>
        <v>0</v>
      </c>
      <c r="M72" s="116"/>
      <c r="N72" s="475">
        <f t="shared" si="1"/>
        <v>0</v>
      </c>
      <c r="O72" s="475">
        <f t="shared" si="2"/>
        <v>0</v>
      </c>
      <c r="P72" s="449"/>
    </row>
    <row r="73" spans="2:16">
      <c r="C73" s="465" t="s">
        <v>77</v>
      </c>
      <c r="D73" s="453"/>
      <c r="E73" s="453">
        <f>SUM(E17:E72)</f>
        <v>1822797.0000000002</v>
      </c>
      <c r="F73" s="453"/>
      <c r="G73" s="453">
        <f>SUM(G17:G72)</f>
        <v>5943910.7363204118</v>
      </c>
      <c r="H73" s="453">
        <f>SUM(H17:H72)</f>
        <v>5943910.7363204118</v>
      </c>
      <c r="I73" s="453">
        <f>SUM(I17:I72)</f>
        <v>0</v>
      </c>
      <c r="J73" s="453"/>
      <c r="K73" s="453"/>
      <c r="L73" s="453"/>
      <c r="M73" s="453"/>
      <c r="N73" s="453"/>
      <c r="O73" s="449"/>
      <c r="P73" s="449"/>
    </row>
    <row r="74" spans="2:16">
      <c r="D74" s="450"/>
      <c r="E74" s="449"/>
      <c r="F74" s="449"/>
      <c r="G74" s="449"/>
      <c r="H74" s="452"/>
      <c r="I74" s="452"/>
      <c r="J74" s="453"/>
      <c r="K74" s="452"/>
      <c r="L74" s="452"/>
      <c r="M74" s="452"/>
      <c r="N74" s="452"/>
      <c r="O74" s="449"/>
      <c r="P74" s="449"/>
    </row>
    <row r="75" spans="2:16">
      <c r="C75" s="30" t="s">
        <v>106</v>
      </c>
      <c r="D75" s="450"/>
      <c r="E75" s="449"/>
      <c r="F75" s="449"/>
      <c r="G75" s="449"/>
      <c r="H75" s="452"/>
      <c r="I75" s="452"/>
      <c r="J75" s="453"/>
      <c r="K75" s="452"/>
      <c r="L75" s="452"/>
      <c r="M75" s="452"/>
      <c r="N75" s="452"/>
      <c r="O75" s="449"/>
      <c r="P75" s="449"/>
    </row>
    <row r="76" spans="2:16">
      <c r="C76" s="26" t="s">
        <v>78</v>
      </c>
      <c r="D76" s="450"/>
      <c r="E76" s="449"/>
      <c r="F76" s="449"/>
      <c r="G76" s="449"/>
      <c r="H76" s="452"/>
      <c r="I76" s="452"/>
      <c r="J76" s="453"/>
      <c r="K76" s="452"/>
      <c r="L76" s="452"/>
      <c r="M76" s="452"/>
      <c r="N76" s="452"/>
      <c r="O76" s="449"/>
      <c r="P76" s="449"/>
    </row>
    <row r="77" spans="2:16">
      <c r="C77" s="26" t="s">
        <v>79</v>
      </c>
      <c r="D77" s="465"/>
      <c r="E77" s="465"/>
      <c r="F77" s="465"/>
      <c r="G77" s="453"/>
      <c r="H77" s="453"/>
      <c r="I77" s="476"/>
      <c r="J77" s="476"/>
      <c r="K77" s="476"/>
      <c r="L77" s="476"/>
      <c r="M77" s="476"/>
      <c r="N77" s="476"/>
      <c r="O77" s="449"/>
      <c r="P77" s="449"/>
    </row>
    <row r="78" spans="2:16">
      <c r="C78" s="26"/>
      <c r="D78" s="465"/>
      <c r="E78" s="465"/>
      <c r="F78" s="465"/>
      <c r="G78" s="453"/>
      <c r="H78" s="453"/>
      <c r="I78" s="476"/>
      <c r="J78" s="476"/>
      <c r="K78" s="476"/>
      <c r="L78" s="476"/>
      <c r="M78" s="476"/>
      <c r="N78" s="476"/>
      <c r="O78" s="449"/>
      <c r="P78" s="449"/>
    </row>
    <row r="79" spans="2:16">
      <c r="B79" s="449"/>
      <c r="C79" s="449"/>
      <c r="D79" s="450"/>
      <c r="E79" s="449"/>
      <c r="F79" s="465"/>
      <c r="G79" s="449"/>
      <c r="H79" s="452"/>
      <c r="I79" s="449"/>
      <c r="J79" s="449"/>
      <c r="K79" s="449"/>
      <c r="L79" s="449"/>
      <c r="M79" s="449"/>
      <c r="N79" s="449"/>
      <c r="O79" s="449"/>
      <c r="P79" s="449"/>
    </row>
    <row r="80" spans="2:16" ht="18">
      <c r="B80" s="449"/>
      <c r="C80" s="477"/>
      <c r="D80" s="450"/>
      <c r="E80" s="449"/>
      <c r="F80" s="465"/>
      <c r="G80" s="449"/>
      <c r="H80" s="452"/>
      <c r="I80" s="449"/>
      <c r="J80" s="449"/>
      <c r="K80" s="449"/>
      <c r="L80" s="449"/>
      <c r="M80" s="449"/>
      <c r="N80" s="449"/>
      <c r="P80" s="95" t="s">
        <v>144</v>
      </c>
    </row>
    <row r="81" spans="1:16">
      <c r="B81" s="449"/>
      <c r="C81" s="449"/>
      <c r="D81" s="450"/>
      <c r="E81" s="449"/>
      <c r="F81" s="465"/>
      <c r="G81" s="449"/>
      <c r="H81" s="452"/>
      <c r="I81" s="449"/>
      <c r="J81" s="449"/>
      <c r="K81" s="449"/>
      <c r="L81" s="449"/>
      <c r="M81" s="449"/>
      <c r="N81" s="449"/>
      <c r="O81" s="449"/>
      <c r="P81" s="449"/>
    </row>
    <row r="82" spans="1:16">
      <c r="B82" s="449"/>
      <c r="C82" s="449"/>
      <c r="D82" s="450"/>
      <c r="E82" s="449"/>
      <c r="F82" s="465"/>
      <c r="G82" s="449"/>
      <c r="H82" s="452"/>
      <c r="I82" s="449"/>
      <c r="J82" s="449"/>
      <c r="K82" s="449"/>
      <c r="L82" s="449"/>
      <c r="M82" s="449"/>
      <c r="N82" s="449"/>
      <c r="O82" s="449"/>
      <c r="P82" s="449"/>
    </row>
    <row r="83" spans="1:16" ht="20.25">
      <c r="A83" s="94" t="s">
        <v>146</v>
      </c>
      <c r="B83" s="449"/>
      <c r="C83" s="449"/>
      <c r="D83" s="450"/>
      <c r="E83" s="449"/>
      <c r="F83" s="451"/>
      <c r="G83" s="451"/>
      <c r="H83" s="449"/>
      <c r="I83" s="452"/>
      <c r="L83" s="13"/>
      <c r="M83" s="13"/>
      <c r="P83" s="99" t="str">
        <f ca="1">"PSO Project "&amp;RIGHT(MID(CELL("filename",$A$1),FIND("]",CELL("filename",$A$1))+1,256),2)&amp;" of "&amp;COUNT('P.001:P.xyz - blank'!$P$3)-1</f>
        <v>PSO Project 30 of 36</v>
      </c>
    </row>
    <row r="84" spans="1:16" ht="18">
      <c r="B84" s="449"/>
      <c r="C84" s="449"/>
      <c r="D84" s="450"/>
      <c r="E84" s="449"/>
      <c r="F84" s="449"/>
      <c r="G84" s="449"/>
      <c r="H84" s="449"/>
      <c r="I84" s="452"/>
      <c r="J84" s="449"/>
      <c r="K84" s="449"/>
      <c r="L84" s="449"/>
      <c r="M84" s="449"/>
      <c r="P84" s="100" t="s">
        <v>151</v>
      </c>
    </row>
    <row r="85" spans="1:16" ht="18.75" thickBot="1">
      <c r="B85" s="4" t="s">
        <v>42</v>
      </c>
      <c r="C85" s="65" t="s">
        <v>91</v>
      </c>
      <c r="D85" s="450"/>
      <c r="E85" s="449"/>
      <c r="F85" s="449"/>
      <c r="G85" s="449"/>
      <c r="H85" s="449"/>
      <c r="I85" s="452"/>
      <c r="J85" s="452"/>
      <c r="K85" s="453"/>
      <c r="L85" s="452"/>
      <c r="M85" s="452"/>
      <c r="N85" s="452"/>
      <c r="O85" s="453"/>
      <c r="P85" s="449"/>
    </row>
    <row r="86" spans="1:16" ht="15.75" thickBot="1">
      <c r="C86" s="247"/>
      <c r="D86" s="450"/>
      <c r="E86" s="449"/>
      <c r="F86" s="449"/>
      <c r="G86" s="449"/>
      <c r="H86" s="449"/>
      <c r="I86" s="452"/>
      <c r="J86" s="452"/>
      <c r="K86" s="453"/>
      <c r="L86" s="101">
        <f>+J92</f>
        <v>2025</v>
      </c>
      <c r="M86" s="478" t="s">
        <v>8</v>
      </c>
      <c r="N86" s="479" t="s">
        <v>153</v>
      </c>
      <c r="O86" s="480" t="s">
        <v>10</v>
      </c>
      <c r="P86" s="449"/>
    </row>
    <row r="87" spans="1:16" ht="15">
      <c r="C87" s="91" t="s">
        <v>44</v>
      </c>
      <c r="D87" s="450"/>
      <c r="E87" s="449"/>
      <c r="F87" s="449"/>
      <c r="G87" s="449"/>
      <c r="H87" s="325"/>
      <c r="I87" s="449" t="s">
        <v>45</v>
      </c>
      <c r="J87" s="449"/>
      <c r="K87" s="105"/>
      <c r="L87" s="481" t="s">
        <v>154</v>
      </c>
      <c r="M87" s="364">
        <f>IF(J92&lt;D11,0,VLOOKUP(J92,C17:O72,9))</f>
        <v>236008.55145747482</v>
      </c>
      <c r="N87" s="364">
        <f>IF(J92&lt;D11,0,VLOOKUP(J92,C17:O72,11))</f>
        <v>236008.55145747482</v>
      </c>
      <c r="O87" s="482">
        <f>+N87-M87</f>
        <v>0</v>
      </c>
      <c r="P87" s="449"/>
    </row>
    <row r="88" spans="1:16" ht="15.75">
      <c r="C88" s="6"/>
      <c r="D88" s="450"/>
      <c r="E88" s="449"/>
      <c r="F88" s="449"/>
      <c r="G88" s="449"/>
      <c r="H88" s="449"/>
      <c r="I88" s="327"/>
      <c r="J88" s="327"/>
      <c r="K88" s="365"/>
      <c r="L88" s="483" t="s">
        <v>155</v>
      </c>
      <c r="M88" s="367">
        <f>IF(J92&lt;D11,0,VLOOKUP(J92,C99:P154,6))</f>
        <v>223541.52923198554</v>
      </c>
      <c r="N88" s="367">
        <f>IF(J92&lt;D11,0,VLOOKUP(J92,C99:P154,7))</f>
        <v>223541.52923198554</v>
      </c>
      <c r="O88" s="484">
        <f>+N88-M88</f>
        <v>0</v>
      </c>
      <c r="P88" s="449"/>
    </row>
    <row r="89" spans="1:16" ht="13.5" thickBot="1">
      <c r="C89" s="26" t="s">
        <v>92</v>
      </c>
      <c r="D89" s="64" t="str">
        <f>D7</f>
        <v>Tulsa SE - E 21st St Tap 138 kV</v>
      </c>
      <c r="E89" s="449"/>
      <c r="F89" s="449"/>
      <c r="G89" s="449"/>
      <c r="H89" s="449"/>
      <c r="I89" s="452"/>
      <c r="J89" s="452"/>
      <c r="K89" s="368"/>
      <c r="L89" s="485" t="s">
        <v>156</v>
      </c>
      <c r="M89" s="369">
        <f>+M88-M87</f>
        <v>-12467.022225489287</v>
      </c>
      <c r="N89" s="369">
        <f>+N88-N87</f>
        <v>-12467.022225489287</v>
      </c>
      <c r="O89" s="370">
        <f>+O88-O87</f>
        <v>0</v>
      </c>
      <c r="P89" s="449"/>
    </row>
    <row r="90" spans="1:16" ht="13.5" thickBot="1">
      <c r="C90" s="30"/>
      <c r="E90" s="465"/>
      <c r="F90" s="465"/>
      <c r="G90" s="465"/>
      <c r="H90" s="457"/>
      <c r="I90" s="452"/>
      <c r="J90" s="452"/>
      <c r="K90" s="453"/>
      <c r="L90" s="452"/>
      <c r="M90" s="452"/>
      <c r="N90" s="452"/>
      <c r="O90" s="453"/>
      <c r="P90" s="449"/>
    </row>
    <row r="91" spans="1:16" ht="13.5" thickBot="1">
      <c r="C91" s="486" t="s">
        <v>93</v>
      </c>
      <c r="D91" s="89" t="str">
        <f>+D9</f>
        <v>TP2020033</v>
      </c>
      <c r="E91" s="74" t="str">
        <f>E9</f>
        <v xml:space="preserve">  SPP Project ID = 81523</v>
      </c>
      <c r="F91" s="74"/>
      <c r="G91" s="74"/>
      <c r="H91" s="74"/>
      <c r="I91" s="74"/>
      <c r="J91" s="74"/>
    </row>
    <row r="92" spans="1:16">
      <c r="C92" s="458" t="s">
        <v>226</v>
      </c>
      <c r="D92" s="487">
        <v>1822797.3900000001</v>
      </c>
      <c r="E92" s="449" t="s">
        <v>94</v>
      </c>
      <c r="H92" s="450"/>
      <c r="I92" s="450"/>
      <c r="J92" s="36">
        <f>+'PSO.WS.G.BPU.ATRR.True-up'!M16</f>
        <v>2025</v>
      </c>
      <c r="K92" s="34"/>
      <c r="L92" s="453" t="s">
        <v>95</v>
      </c>
      <c r="P92" s="449"/>
    </row>
    <row r="93" spans="1:16">
      <c r="C93" s="459" t="s">
        <v>53</v>
      </c>
      <c r="D93" s="488">
        <f>+D11</f>
        <v>2021</v>
      </c>
      <c r="E93" s="459" t="s">
        <v>54</v>
      </c>
      <c r="F93" s="450"/>
      <c r="G93" s="450"/>
      <c r="J93" s="460">
        <v>0</v>
      </c>
      <c r="K93" s="461"/>
      <c r="L93" t="str">
        <f>"          INPUT TRUE-UP ARR (WITH &amp; WITHOUT INCENTIVES) FROM EACH PRIOR YEAR"</f>
        <v xml:space="preserve">          INPUT TRUE-UP ARR (WITH &amp; WITHOUT INCENTIVES) FROM EACH PRIOR YEAR</v>
      </c>
      <c r="P93" s="449"/>
    </row>
    <row r="94" spans="1:16">
      <c r="C94" s="459" t="s">
        <v>55</v>
      </c>
      <c r="D94" s="488">
        <f>+D12</f>
        <v>11</v>
      </c>
      <c r="E94" s="459" t="s">
        <v>56</v>
      </c>
      <c r="F94" s="450"/>
      <c r="G94" s="450"/>
      <c r="J94" s="462">
        <v>0.10781124580725182</v>
      </c>
      <c r="K94" s="451"/>
      <c r="L94" t="s">
        <v>96</v>
      </c>
      <c r="P94" s="449"/>
    </row>
    <row r="95" spans="1:16">
      <c r="C95" s="459" t="s">
        <v>58</v>
      </c>
      <c r="D95" s="460">
        <v>42</v>
      </c>
      <c r="E95" s="459" t="s">
        <v>59</v>
      </c>
      <c r="F95" s="450"/>
      <c r="G95" s="450"/>
      <c r="J95" s="462">
        <v>0.10781124580725182</v>
      </c>
      <c r="K95" s="451"/>
      <c r="L95" s="453" t="s">
        <v>60</v>
      </c>
      <c r="M95" s="451"/>
      <c r="N95" s="451"/>
      <c r="O95" s="451"/>
      <c r="P95" s="449"/>
    </row>
    <row r="96" spans="1:16" ht="13.5" thickBot="1">
      <c r="C96" s="459" t="s">
        <v>61</v>
      </c>
      <c r="D96" s="489" t="str">
        <f>+D14</f>
        <v>No</v>
      </c>
      <c r="E96" s="490" t="s">
        <v>63</v>
      </c>
      <c r="F96" s="491"/>
      <c r="G96" s="491"/>
      <c r="H96" s="76"/>
      <c r="I96" s="76"/>
      <c r="J96" s="456">
        <f>IF(D92=0,0,ROUND(D92/D95,0))</f>
        <v>43400</v>
      </c>
      <c r="K96" s="453"/>
      <c r="L96" s="453"/>
      <c r="M96" s="453"/>
      <c r="N96" s="453"/>
      <c r="O96" s="453"/>
      <c r="P96" s="449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3.5" thickBot="1">
      <c r="C99" s="464">
        <f>IF(D93= "","-",D93)</f>
        <v>2021</v>
      </c>
      <c r="D99" s="115">
        <v>0</v>
      </c>
      <c r="E99" s="115">
        <v>0</v>
      </c>
      <c r="F99" s="115">
        <v>1504560.18</v>
      </c>
      <c r="G99" s="115">
        <v>752280.09</v>
      </c>
      <c r="H99" s="115">
        <v>81104.253698891524</v>
      </c>
      <c r="I99" s="115">
        <v>81104.253698891524</v>
      </c>
      <c r="J99" s="446">
        <f>+I99-H99</f>
        <v>0</v>
      </c>
      <c r="K99" s="446"/>
      <c r="L99" s="469">
        <f>+H99</f>
        <v>81104.253698891524</v>
      </c>
      <c r="M99" s="469">
        <f t="shared" ref="M99:M130" si="17">IF(L99&lt;&gt;0,+H99-L99,0)</f>
        <v>0</v>
      </c>
      <c r="N99" s="469">
        <f>+I99</f>
        <v>81104.253698891524</v>
      </c>
      <c r="O99" s="469">
        <f t="shared" ref="O99:O130" si="18">IF(N99&lt;&gt;0,+I99-N99,0)</f>
        <v>0</v>
      </c>
      <c r="P99" s="469">
        <f t="shared" ref="P99:P130" si="19">+O99-M99</f>
        <v>0</v>
      </c>
    </row>
    <row r="100" spans="1:16" ht="13.5" thickBot="1">
      <c r="B100" s="7" t="str">
        <f>IF(D100=F99,"","IU")</f>
        <v>IU</v>
      </c>
      <c r="C100" s="464">
        <f>IF(D93="","-",+C99+1)</f>
        <v>2022</v>
      </c>
      <c r="D100" s="115">
        <v>1822797</v>
      </c>
      <c r="E100" s="115">
        <v>43400</v>
      </c>
      <c r="F100" s="115">
        <v>1779397</v>
      </c>
      <c r="G100" s="115">
        <v>1801097</v>
      </c>
      <c r="H100" s="115">
        <v>237578.51138970384</v>
      </c>
      <c r="I100" s="115">
        <v>237578.51138970384</v>
      </c>
      <c r="J100" s="446">
        <f t="shared" ref="J100:J130" si="20">+I100-H100</f>
        <v>0</v>
      </c>
      <c r="K100" s="446"/>
      <c r="L100" s="469">
        <f>+H100</f>
        <v>237578.51138970384</v>
      </c>
      <c r="M100" s="469">
        <f t="shared" ref="M100" si="21">IF(L100&lt;&gt;0,+H100-L100,0)</f>
        <v>0</v>
      </c>
      <c r="N100" s="469">
        <f>+I100</f>
        <v>237578.51138970384</v>
      </c>
      <c r="O100" s="469">
        <f t="shared" ref="O100" si="22">IF(N100&lt;&gt;0,+I100-N100,0)</f>
        <v>0</v>
      </c>
      <c r="P100" s="469">
        <f t="shared" ref="P100" si="23">+O100-M100</f>
        <v>0</v>
      </c>
    </row>
    <row r="101" spans="1:16" ht="13.5" thickBot="1">
      <c r="B101" s="7" t="str">
        <f t="shared" ref="B101:B154" si="24">IF(D101=F100,"","IU")</f>
        <v/>
      </c>
      <c r="C101" s="464">
        <f>IF(D93="","-",+C100+1)</f>
        <v>2023</v>
      </c>
      <c r="D101" s="115">
        <v>1779397</v>
      </c>
      <c r="E101" s="115">
        <v>43400</v>
      </c>
      <c r="F101" s="115">
        <v>1735997</v>
      </c>
      <c r="G101" s="115">
        <v>1757697</v>
      </c>
      <c r="H101" s="115">
        <v>232899.50332166909</v>
      </c>
      <c r="I101" s="115">
        <v>232899.50332166909</v>
      </c>
      <c r="J101" s="446">
        <f t="shared" si="20"/>
        <v>0</v>
      </c>
      <c r="K101" s="446"/>
      <c r="L101" s="469">
        <f>+H101</f>
        <v>232899.50332166909</v>
      </c>
      <c r="M101" s="469">
        <f t="shared" ref="M101" si="25">IF(L101&lt;&gt;0,+H101-L101,0)</f>
        <v>0</v>
      </c>
      <c r="N101" s="469">
        <f>+I101</f>
        <v>232899.50332166909</v>
      </c>
      <c r="O101" s="469">
        <f t="shared" ref="O101" si="26">IF(N101&lt;&gt;0,+I101-N101,0)</f>
        <v>0</v>
      </c>
      <c r="P101" s="469">
        <f t="shared" ref="P101" si="27">+O101-M101</f>
        <v>0</v>
      </c>
    </row>
    <row r="102" spans="1:16">
      <c r="B102" s="7" t="str">
        <f t="shared" si="24"/>
        <v/>
      </c>
      <c r="C102" s="464">
        <f>IF(D93="","-",+C101+1)</f>
        <v>2024</v>
      </c>
      <c r="D102" s="115">
        <v>1735997</v>
      </c>
      <c r="E102" s="115">
        <v>43400</v>
      </c>
      <c r="F102" s="115">
        <v>1692597</v>
      </c>
      <c r="G102" s="115">
        <v>1714297</v>
      </c>
      <c r="H102" s="115">
        <v>228220.49525363438</v>
      </c>
      <c r="I102" s="115">
        <v>228220.49525363438</v>
      </c>
      <c r="J102" s="446">
        <f t="shared" si="20"/>
        <v>0</v>
      </c>
      <c r="K102" s="446"/>
      <c r="L102" s="469">
        <f>+H102</f>
        <v>228220.49525363438</v>
      </c>
      <c r="M102" s="469">
        <f t="shared" ref="M102" si="28">IF(L102&lt;&gt;0,+H102-L102,0)</f>
        <v>0</v>
      </c>
      <c r="N102" s="469">
        <f>+I102</f>
        <v>228220.49525363438</v>
      </c>
      <c r="O102" s="469">
        <f t="shared" ref="O102" si="29">IF(N102&lt;&gt;0,+I102-N102,0)</f>
        <v>0</v>
      </c>
      <c r="P102" s="469">
        <f t="shared" ref="P102" si="30">+O102-M102</f>
        <v>0</v>
      </c>
    </row>
    <row r="103" spans="1:16">
      <c r="B103" s="7" t="str">
        <f t="shared" si="24"/>
        <v>IU</v>
      </c>
      <c r="C103" s="464">
        <f>IF(D93="","-",+C102+1)</f>
        <v>2025</v>
      </c>
      <c r="D103" s="465">
        <f>IF(F102+SUM(E$99:E102)=D$92,F102,D$92-SUM(E$99:E102))</f>
        <v>1692597.3900000001</v>
      </c>
      <c r="E103" s="56">
        <f t="shared" ref="E103:E154" si="31">IF(+J$96&lt;F102,J$96,D103)</f>
        <v>43400</v>
      </c>
      <c r="F103" s="466">
        <f t="shared" ref="F103:F154" si="32">+D103-E103</f>
        <v>1649197.3900000001</v>
      </c>
      <c r="G103" s="466">
        <f t="shared" ref="G103:G154" si="33">+(F103+D103)/2</f>
        <v>1670897.3900000001</v>
      </c>
      <c r="H103" s="113">
        <f t="shared" ref="H103:H154" si="34">+J$94*G103+E103</f>
        <v>223541.52923198554</v>
      </c>
      <c r="I103" s="122">
        <f t="shared" ref="I103:I154" si="35">+J$95*G103+E103</f>
        <v>223541.52923198554</v>
      </c>
      <c r="J103" s="446">
        <f t="shared" si="20"/>
        <v>0</v>
      </c>
      <c r="K103" s="446"/>
      <c r="L103" s="115"/>
      <c r="M103" s="446">
        <f t="shared" si="17"/>
        <v>0</v>
      </c>
      <c r="N103" s="115"/>
      <c r="O103" s="446">
        <f t="shared" si="18"/>
        <v>0</v>
      </c>
      <c r="P103" s="446">
        <f t="shared" si="19"/>
        <v>0</v>
      </c>
    </row>
    <row r="104" spans="1:16">
      <c r="B104" s="7" t="str">
        <f t="shared" si="24"/>
        <v/>
      </c>
      <c r="C104" s="464">
        <f>IF(D93="","-",+C103+1)</f>
        <v>2026</v>
      </c>
      <c r="D104" s="465">
        <f>IF(F103+SUM(E$99:E103)=D$92,F103,D$92-SUM(E$99:E103))</f>
        <v>1649197.3900000001</v>
      </c>
      <c r="E104" s="56">
        <f t="shared" si="31"/>
        <v>43400</v>
      </c>
      <c r="F104" s="466">
        <f t="shared" si="32"/>
        <v>1605797.3900000001</v>
      </c>
      <c r="G104" s="466">
        <f t="shared" si="33"/>
        <v>1627497.3900000001</v>
      </c>
      <c r="H104" s="113">
        <f t="shared" si="34"/>
        <v>218862.52116395079</v>
      </c>
      <c r="I104" s="122">
        <f t="shared" si="35"/>
        <v>218862.52116395079</v>
      </c>
      <c r="J104" s="446">
        <f t="shared" si="20"/>
        <v>0</v>
      </c>
      <c r="K104" s="446"/>
      <c r="L104" s="115"/>
      <c r="M104" s="446">
        <f t="shared" si="17"/>
        <v>0</v>
      </c>
      <c r="N104" s="115"/>
      <c r="O104" s="446">
        <f t="shared" si="18"/>
        <v>0</v>
      </c>
      <c r="P104" s="446">
        <f t="shared" si="19"/>
        <v>0</v>
      </c>
    </row>
    <row r="105" spans="1:16">
      <c r="B105" s="7" t="str">
        <f t="shared" si="24"/>
        <v/>
      </c>
      <c r="C105" s="464">
        <f>IF(D93="","-",+C104+1)</f>
        <v>2027</v>
      </c>
      <c r="D105" s="465">
        <f>IF(F104+SUM(E$99:E104)=D$92,F104,D$92-SUM(E$99:E104))</f>
        <v>1605797.3900000001</v>
      </c>
      <c r="E105" s="56">
        <f t="shared" si="31"/>
        <v>43400</v>
      </c>
      <c r="F105" s="466">
        <f t="shared" si="32"/>
        <v>1562397.3900000001</v>
      </c>
      <c r="G105" s="466">
        <f t="shared" si="33"/>
        <v>1584097.3900000001</v>
      </c>
      <c r="H105" s="113">
        <f t="shared" si="34"/>
        <v>214183.51309591607</v>
      </c>
      <c r="I105" s="122">
        <f t="shared" si="35"/>
        <v>214183.51309591607</v>
      </c>
      <c r="J105" s="446">
        <f t="shared" si="20"/>
        <v>0</v>
      </c>
      <c r="K105" s="446"/>
      <c r="L105" s="115"/>
      <c r="M105" s="446">
        <f t="shared" si="17"/>
        <v>0</v>
      </c>
      <c r="N105" s="115"/>
      <c r="O105" s="446">
        <f t="shared" si="18"/>
        <v>0</v>
      </c>
      <c r="P105" s="446">
        <f t="shared" si="19"/>
        <v>0</v>
      </c>
    </row>
    <row r="106" spans="1:16">
      <c r="B106" s="7" t="str">
        <f t="shared" si="24"/>
        <v/>
      </c>
      <c r="C106" s="464">
        <f>IF(D93="","-",+C105+1)</f>
        <v>2028</v>
      </c>
      <c r="D106" s="465">
        <f>IF(F105+SUM(E$99:E105)=D$92,F105,D$92-SUM(E$99:E105))</f>
        <v>1562397.3900000001</v>
      </c>
      <c r="E106" s="56">
        <f t="shared" si="31"/>
        <v>43400</v>
      </c>
      <c r="F106" s="466">
        <f t="shared" si="32"/>
        <v>1518997.3900000001</v>
      </c>
      <c r="G106" s="466">
        <f t="shared" si="33"/>
        <v>1540697.3900000001</v>
      </c>
      <c r="H106" s="113">
        <f t="shared" si="34"/>
        <v>209504.50502788133</v>
      </c>
      <c r="I106" s="122">
        <f t="shared" si="35"/>
        <v>209504.50502788133</v>
      </c>
      <c r="J106" s="446">
        <f t="shared" si="20"/>
        <v>0</v>
      </c>
      <c r="K106" s="446"/>
      <c r="L106" s="115"/>
      <c r="M106" s="446">
        <f t="shared" si="17"/>
        <v>0</v>
      </c>
      <c r="N106" s="115"/>
      <c r="O106" s="446">
        <f t="shared" si="18"/>
        <v>0</v>
      </c>
      <c r="P106" s="446">
        <f t="shared" si="19"/>
        <v>0</v>
      </c>
    </row>
    <row r="107" spans="1:16">
      <c r="B107" s="7" t="str">
        <f t="shared" si="24"/>
        <v/>
      </c>
      <c r="C107" s="464">
        <f>IF(D93="","-",+C106+1)</f>
        <v>2029</v>
      </c>
      <c r="D107" s="465">
        <f>IF(F106+SUM(E$99:E106)=D$92,F106,D$92-SUM(E$99:E106))</f>
        <v>1518997.3900000001</v>
      </c>
      <c r="E107" s="56">
        <f t="shared" si="31"/>
        <v>43400</v>
      </c>
      <c r="F107" s="466">
        <f t="shared" si="32"/>
        <v>1475597.3900000001</v>
      </c>
      <c r="G107" s="466">
        <f t="shared" si="33"/>
        <v>1497297.3900000001</v>
      </c>
      <c r="H107" s="113">
        <f t="shared" si="34"/>
        <v>204825.49695984661</v>
      </c>
      <c r="I107" s="122">
        <f t="shared" si="35"/>
        <v>204825.49695984661</v>
      </c>
      <c r="J107" s="446">
        <f t="shared" si="20"/>
        <v>0</v>
      </c>
      <c r="K107" s="446"/>
      <c r="L107" s="115"/>
      <c r="M107" s="446">
        <f t="shared" si="17"/>
        <v>0</v>
      </c>
      <c r="N107" s="115"/>
      <c r="O107" s="446">
        <f t="shared" si="18"/>
        <v>0</v>
      </c>
      <c r="P107" s="446">
        <f t="shared" si="19"/>
        <v>0</v>
      </c>
    </row>
    <row r="108" spans="1:16">
      <c r="B108" s="7" t="str">
        <f t="shared" si="24"/>
        <v/>
      </c>
      <c r="C108" s="464">
        <f>IF(D93="","-",+C107+1)</f>
        <v>2030</v>
      </c>
      <c r="D108" s="465">
        <f>IF(F107+SUM(E$99:E107)=D$92,F107,D$92-SUM(E$99:E107))</f>
        <v>1475597.3900000001</v>
      </c>
      <c r="E108" s="56">
        <f t="shared" si="31"/>
        <v>43400</v>
      </c>
      <c r="F108" s="466">
        <f t="shared" si="32"/>
        <v>1432197.3900000001</v>
      </c>
      <c r="G108" s="466">
        <f t="shared" si="33"/>
        <v>1453897.3900000001</v>
      </c>
      <c r="H108" s="113">
        <f t="shared" si="34"/>
        <v>200146.48889181187</v>
      </c>
      <c r="I108" s="122">
        <f t="shared" si="35"/>
        <v>200146.48889181187</v>
      </c>
      <c r="J108" s="446">
        <f t="shared" si="20"/>
        <v>0</v>
      </c>
      <c r="K108" s="446"/>
      <c r="L108" s="115"/>
      <c r="M108" s="446">
        <f t="shared" si="17"/>
        <v>0</v>
      </c>
      <c r="N108" s="115"/>
      <c r="O108" s="446">
        <f t="shared" si="18"/>
        <v>0</v>
      </c>
      <c r="P108" s="446">
        <f t="shared" si="19"/>
        <v>0</v>
      </c>
    </row>
    <row r="109" spans="1:16">
      <c r="B109" s="7" t="str">
        <f t="shared" si="24"/>
        <v/>
      </c>
      <c r="C109" s="464">
        <f>IF(D93="","-",+C108+1)</f>
        <v>2031</v>
      </c>
      <c r="D109" s="465">
        <f>IF(F108+SUM(E$99:E108)=D$92,F108,D$92-SUM(E$99:E108))</f>
        <v>1432197.3900000001</v>
      </c>
      <c r="E109" s="56">
        <f t="shared" si="31"/>
        <v>43400</v>
      </c>
      <c r="F109" s="466">
        <f t="shared" si="32"/>
        <v>1388797.3900000001</v>
      </c>
      <c r="G109" s="466">
        <f t="shared" si="33"/>
        <v>1410497.3900000001</v>
      </c>
      <c r="H109" s="113">
        <f t="shared" si="34"/>
        <v>195467.48082377715</v>
      </c>
      <c r="I109" s="122">
        <f t="shared" si="35"/>
        <v>195467.48082377715</v>
      </c>
      <c r="J109" s="446">
        <f t="shared" si="20"/>
        <v>0</v>
      </c>
      <c r="K109" s="446"/>
      <c r="L109" s="115"/>
      <c r="M109" s="446">
        <f t="shared" si="17"/>
        <v>0</v>
      </c>
      <c r="N109" s="115"/>
      <c r="O109" s="446">
        <f t="shared" si="18"/>
        <v>0</v>
      </c>
      <c r="P109" s="446">
        <f t="shared" si="19"/>
        <v>0</v>
      </c>
    </row>
    <row r="110" spans="1:16">
      <c r="B110" s="7" t="str">
        <f t="shared" si="24"/>
        <v/>
      </c>
      <c r="C110" s="464">
        <f>IF(D93="","-",+C109+1)</f>
        <v>2032</v>
      </c>
      <c r="D110" s="465">
        <f>IF(F109+SUM(E$99:E109)=D$92,F109,D$92-SUM(E$99:E109))</f>
        <v>1388797.3900000001</v>
      </c>
      <c r="E110" s="56">
        <f t="shared" si="31"/>
        <v>43400</v>
      </c>
      <c r="F110" s="466">
        <f t="shared" si="32"/>
        <v>1345397.3900000001</v>
      </c>
      <c r="G110" s="466">
        <f t="shared" si="33"/>
        <v>1367097.3900000001</v>
      </c>
      <c r="H110" s="113">
        <f t="shared" si="34"/>
        <v>190788.47275574243</v>
      </c>
      <c r="I110" s="122">
        <f t="shared" si="35"/>
        <v>190788.47275574243</v>
      </c>
      <c r="J110" s="446">
        <f t="shared" si="20"/>
        <v>0</v>
      </c>
      <c r="K110" s="446"/>
      <c r="L110" s="115"/>
      <c r="M110" s="446">
        <f t="shared" si="17"/>
        <v>0</v>
      </c>
      <c r="N110" s="115"/>
      <c r="O110" s="446">
        <f t="shared" si="18"/>
        <v>0</v>
      </c>
      <c r="P110" s="446">
        <f t="shared" si="19"/>
        <v>0</v>
      </c>
    </row>
    <row r="111" spans="1:16">
      <c r="B111" s="7" t="str">
        <f t="shared" si="24"/>
        <v/>
      </c>
      <c r="C111" s="464">
        <f>IF(D93="","-",+C110+1)</f>
        <v>2033</v>
      </c>
      <c r="D111" s="465">
        <f>IF(F110+SUM(E$99:E110)=D$92,F110,D$92-SUM(E$99:E110))</f>
        <v>1345397.3900000001</v>
      </c>
      <c r="E111" s="56">
        <f t="shared" si="31"/>
        <v>43400</v>
      </c>
      <c r="F111" s="466">
        <f t="shared" si="32"/>
        <v>1301997.3900000001</v>
      </c>
      <c r="G111" s="466">
        <f t="shared" si="33"/>
        <v>1323697.3900000001</v>
      </c>
      <c r="H111" s="113">
        <f t="shared" si="34"/>
        <v>186109.46468770769</v>
      </c>
      <c r="I111" s="122">
        <f t="shared" si="35"/>
        <v>186109.46468770769</v>
      </c>
      <c r="J111" s="446">
        <f t="shared" si="20"/>
        <v>0</v>
      </c>
      <c r="K111" s="446"/>
      <c r="L111" s="115"/>
      <c r="M111" s="446">
        <f t="shared" si="17"/>
        <v>0</v>
      </c>
      <c r="N111" s="115"/>
      <c r="O111" s="446">
        <f t="shared" si="18"/>
        <v>0</v>
      </c>
      <c r="P111" s="446">
        <f t="shared" si="19"/>
        <v>0</v>
      </c>
    </row>
    <row r="112" spans="1:16">
      <c r="B112" s="7" t="str">
        <f t="shared" si="24"/>
        <v/>
      </c>
      <c r="C112" s="464">
        <f>IF(D93="","-",+C111+1)</f>
        <v>2034</v>
      </c>
      <c r="D112" s="465">
        <f>IF(F111+SUM(E$99:E111)=D$92,F111,D$92-SUM(E$99:E111))</f>
        <v>1301997.3900000001</v>
      </c>
      <c r="E112" s="56">
        <f t="shared" si="31"/>
        <v>43400</v>
      </c>
      <c r="F112" s="466">
        <f t="shared" si="32"/>
        <v>1258597.3900000001</v>
      </c>
      <c r="G112" s="466">
        <f t="shared" si="33"/>
        <v>1280297.3900000001</v>
      </c>
      <c r="H112" s="113">
        <f t="shared" si="34"/>
        <v>181430.45661967297</v>
      </c>
      <c r="I112" s="122">
        <f t="shared" si="35"/>
        <v>181430.45661967297</v>
      </c>
      <c r="J112" s="446">
        <f t="shared" si="20"/>
        <v>0</v>
      </c>
      <c r="K112" s="446"/>
      <c r="L112" s="115"/>
      <c r="M112" s="446">
        <f t="shared" si="17"/>
        <v>0</v>
      </c>
      <c r="N112" s="115"/>
      <c r="O112" s="446">
        <f t="shared" si="18"/>
        <v>0</v>
      </c>
      <c r="P112" s="446">
        <f t="shared" si="19"/>
        <v>0</v>
      </c>
    </row>
    <row r="113" spans="2:16">
      <c r="B113" s="7" t="str">
        <f t="shared" si="24"/>
        <v/>
      </c>
      <c r="C113" s="464">
        <f>IF(D93="","-",+C112+1)</f>
        <v>2035</v>
      </c>
      <c r="D113" s="465">
        <f>IF(F112+SUM(E$99:E112)=D$92,F112,D$92-SUM(E$99:E112))</f>
        <v>1258597.3900000001</v>
      </c>
      <c r="E113" s="56">
        <f t="shared" si="31"/>
        <v>43400</v>
      </c>
      <c r="F113" s="466">
        <f t="shared" si="32"/>
        <v>1215197.3900000001</v>
      </c>
      <c r="G113" s="466">
        <f t="shared" si="33"/>
        <v>1236897.3900000001</v>
      </c>
      <c r="H113" s="113">
        <f t="shared" si="34"/>
        <v>176751.44855163823</v>
      </c>
      <c r="I113" s="122">
        <f t="shared" si="35"/>
        <v>176751.44855163823</v>
      </c>
      <c r="J113" s="446">
        <f t="shared" si="20"/>
        <v>0</v>
      </c>
      <c r="K113" s="446"/>
      <c r="L113" s="115"/>
      <c r="M113" s="446">
        <f t="shared" si="17"/>
        <v>0</v>
      </c>
      <c r="N113" s="115"/>
      <c r="O113" s="446">
        <f t="shared" si="18"/>
        <v>0</v>
      </c>
      <c r="P113" s="446">
        <f t="shared" si="19"/>
        <v>0</v>
      </c>
    </row>
    <row r="114" spans="2:16">
      <c r="B114" s="7" t="str">
        <f t="shared" si="24"/>
        <v/>
      </c>
      <c r="C114" s="464">
        <f>IF(D93="","-",+C113+1)</f>
        <v>2036</v>
      </c>
      <c r="D114" s="465">
        <f>IF(F113+SUM(E$99:E113)=D$92,F113,D$92-SUM(E$99:E113))</f>
        <v>1215197.3900000001</v>
      </c>
      <c r="E114" s="56">
        <f t="shared" si="31"/>
        <v>43400</v>
      </c>
      <c r="F114" s="466">
        <f t="shared" si="32"/>
        <v>1171797.3900000001</v>
      </c>
      <c r="G114" s="466">
        <f t="shared" si="33"/>
        <v>1193497.3900000001</v>
      </c>
      <c r="H114" s="113">
        <f t="shared" si="34"/>
        <v>172072.44048360351</v>
      </c>
      <c r="I114" s="122">
        <f t="shared" si="35"/>
        <v>172072.44048360351</v>
      </c>
      <c r="J114" s="446">
        <f t="shared" si="20"/>
        <v>0</v>
      </c>
      <c r="K114" s="446"/>
      <c r="L114" s="115"/>
      <c r="M114" s="446">
        <f t="shared" si="17"/>
        <v>0</v>
      </c>
      <c r="N114" s="115"/>
      <c r="O114" s="446">
        <f t="shared" si="18"/>
        <v>0</v>
      </c>
      <c r="P114" s="446">
        <f t="shared" si="19"/>
        <v>0</v>
      </c>
    </row>
    <row r="115" spans="2:16">
      <c r="B115" s="7" t="str">
        <f t="shared" si="24"/>
        <v/>
      </c>
      <c r="C115" s="464">
        <f>IF(D93="","-",+C114+1)</f>
        <v>2037</v>
      </c>
      <c r="D115" s="465">
        <f>IF(F114+SUM(E$99:E114)=D$92,F114,D$92-SUM(E$99:E114))</f>
        <v>1171797.3900000001</v>
      </c>
      <c r="E115" s="56">
        <f t="shared" si="31"/>
        <v>43400</v>
      </c>
      <c r="F115" s="466">
        <f t="shared" si="32"/>
        <v>1128397.3900000001</v>
      </c>
      <c r="G115" s="466">
        <f t="shared" si="33"/>
        <v>1150097.3900000001</v>
      </c>
      <c r="H115" s="113">
        <f t="shared" si="34"/>
        <v>167393.43241556879</v>
      </c>
      <c r="I115" s="122">
        <f t="shared" si="35"/>
        <v>167393.43241556879</v>
      </c>
      <c r="J115" s="446">
        <f t="shared" si="20"/>
        <v>0</v>
      </c>
      <c r="K115" s="446"/>
      <c r="L115" s="115"/>
      <c r="M115" s="446">
        <f t="shared" si="17"/>
        <v>0</v>
      </c>
      <c r="N115" s="115"/>
      <c r="O115" s="446">
        <f t="shared" si="18"/>
        <v>0</v>
      </c>
      <c r="P115" s="446">
        <f t="shared" si="19"/>
        <v>0</v>
      </c>
    </row>
    <row r="116" spans="2:16">
      <c r="B116" s="7" t="str">
        <f t="shared" si="24"/>
        <v/>
      </c>
      <c r="C116" s="464">
        <f>IF(D93="","-",+C115+1)</f>
        <v>2038</v>
      </c>
      <c r="D116" s="465">
        <f>IF(F115+SUM(E$99:E115)=D$92,F115,D$92-SUM(E$99:E115))</f>
        <v>1128397.3900000001</v>
      </c>
      <c r="E116" s="56">
        <f t="shared" si="31"/>
        <v>43400</v>
      </c>
      <c r="F116" s="466">
        <f t="shared" si="32"/>
        <v>1084997.3900000001</v>
      </c>
      <c r="G116" s="466">
        <f t="shared" si="33"/>
        <v>1106697.3900000001</v>
      </c>
      <c r="H116" s="113">
        <f t="shared" si="34"/>
        <v>162714.42434753405</v>
      </c>
      <c r="I116" s="122">
        <f t="shared" si="35"/>
        <v>162714.42434753405</v>
      </c>
      <c r="J116" s="446">
        <f t="shared" si="20"/>
        <v>0</v>
      </c>
      <c r="K116" s="446"/>
      <c r="L116" s="115"/>
      <c r="M116" s="446">
        <f t="shared" si="17"/>
        <v>0</v>
      </c>
      <c r="N116" s="115"/>
      <c r="O116" s="446">
        <f t="shared" si="18"/>
        <v>0</v>
      </c>
      <c r="P116" s="446">
        <f t="shared" si="19"/>
        <v>0</v>
      </c>
    </row>
    <row r="117" spans="2:16">
      <c r="B117" s="7" t="str">
        <f t="shared" si="24"/>
        <v/>
      </c>
      <c r="C117" s="464">
        <f>IF(D93="","-",+C116+1)</f>
        <v>2039</v>
      </c>
      <c r="D117" s="465">
        <f>IF(F116+SUM(E$99:E116)=D$92,F116,D$92-SUM(E$99:E116))</f>
        <v>1084997.3900000001</v>
      </c>
      <c r="E117" s="56">
        <f t="shared" si="31"/>
        <v>43400</v>
      </c>
      <c r="F117" s="466">
        <f t="shared" si="32"/>
        <v>1041597.3900000001</v>
      </c>
      <c r="G117" s="466">
        <f t="shared" si="33"/>
        <v>1063297.3900000001</v>
      </c>
      <c r="H117" s="113">
        <f t="shared" si="34"/>
        <v>158035.4162794993</v>
      </c>
      <c r="I117" s="122">
        <f t="shared" si="35"/>
        <v>158035.4162794993</v>
      </c>
      <c r="J117" s="446">
        <f t="shared" si="20"/>
        <v>0</v>
      </c>
      <c r="K117" s="446"/>
      <c r="L117" s="115"/>
      <c r="M117" s="446">
        <f t="shared" si="17"/>
        <v>0</v>
      </c>
      <c r="N117" s="115"/>
      <c r="O117" s="446">
        <f t="shared" si="18"/>
        <v>0</v>
      </c>
      <c r="P117" s="446">
        <f t="shared" si="19"/>
        <v>0</v>
      </c>
    </row>
    <row r="118" spans="2:16">
      <c r="B118" s="7" t="str">
        <f t="shared" si="24"/>
        <v/>
      </c>
      <c r="C118" s="464">
        <f>IF(D93="","-",+C117+1)</f>
        <v>2040</v>
      </c>
      <c r="D118" s="465">
        <f>IF(F117+SUM(E$99:E117)=D$92,F117,D$92-SUM(E$99:E117))</f>
        <v>1041597.3900000001</v>
      </c>
      <c r="E118" s="56">
        <f t="shared" si="31"/>
        <v>43400</v>
      </c>
      <c r="F118" s="466">
        <f t="shared" si="32"/>
        <v>998197.39000000013</v>
      </c>
      <c r="G118" s="466">
        <f t="shared" si="33"/>
        <v>1019897.3900000001</v>
      </c>
      <c r="H118" s="113">
        <f t="shared" si="34"/>
        <v>153356.40821146459</v>
      </c>
      <c r="I118" s="122">
        <f t="shared" si="35"/>
        <v>153356.40821146459</v>
      </c>
      <c r="J118" s="446">
        <f t="shared" si="20"/>
        <v>0</v>
      </c>
      <c r="K118" s="446"/>
      <c r="L118" s="115"/>
      <c r="M118" s="446">
        <f t="shared" si="17"/>
        <v>0</v>
      </c>
      <c r="N118" s="115"/>
      <c r="O118" s="446">
        <f t="shared" si="18"/>
        <v>0</v>
      </c>
      <c r="P118" s="446">
        <f t="shared" si="19"/>
        <v>0</v>
      </c>
    </row>
    <row r="119" spans="2:16">
      <c r="B119" s="7" t="str">
        <f t="shared" si="24"/>
        <v/>
      </c>
      <c r="C119" s="464">
        <f>IF(D93="","-",+C118+1)</f>
        <v>2041</v>
      </c>
      <c r="D119" s="465">
        <f>IF(F118+SUM(E$99:E118)=D$92,F118,D$92-SUM(E$99:E118))</f>
        <v>998197.39000000013</v>
      </c>
      <c r="E119" s="56">
        <f t="shared" si="31"/>
        <v>43400</v>
      </c>
      <c r="F119" s="466">
        <f t="shared" si="32"/>
        <v>954797.39000000013</v>
      </c>
      <c r="G119" s="466">
        <f t="shared" si="33"/>
        <v>976497.39000000013</v>
      </c>
      <c r="H119" s="113">
        <f t="shared" si="34"/>
        <v>148677.40014342987</v>
      </c>
      <c r="I119" s="122">
        <f t="shared" si="35"/>
        <v>148677.40014342987</v>
      </c>
      <c r="J119" s="446">
        <f t="shared" si="20"/>
        <v>0</v>
      </c>
      <c r="K119" s="446"/>
      <c r="L119" s="115"/>
      <c r="M119" s="446">
        <f t="shared" si="17"/>
        <v>0</v>
      </c>
      <c r="N119" s="115"/>
      <c r="O119" s="446">
        <f t="shared" si="18"/>
        <v>0</v>
      </c>
      <c r="P119" s="446">
        <f t="shared" si="19"/>
        <v>0</v>
      </c>
    </row>
    <row r="120" spans="2:16">
      <c r="B120" s="7" t="str">
        <f t="shared" si="24"/>
        <v/>
      </c>
      <c r="C120" s="464">
        <f>IF(D93="","-",+C119+1)</f>
        <v>2042</v>
      </c>
      <c r="D120" s="465">
        <f>IF(F119+SUM(E$99:E119)=D$92,F119,D$92-SUM(E$99:E119))</f>
        <v>954797.39000000013</v>
      </c>
      <c r="E120" s="56">
        <f t="shared" si="31"/>
        <v>43400</v>
      </c>
      <c r="F120" s="466">
        <f t="shared" si="32"/>
        <v>911397.39000000013</v>
      </c>
      <c r="G120" s="466">
        <f t="shared" si="33"/>
        <v>933097.39000000013</v>
      </c>
      <c r="H120" s="113">
        <f t="shared" si="34"/>
        <v>143998.39207539512</v>
      </c>
      <c r="I120" s="122">
        <f t="shared" si="35"/>
        <v>143998.39207539512</v>
      </c>
      <c r="J120" s="446">
        <f t="shared" si="20"/>
        <v>0</v>
      </c>
      <c r="K120" s="446"/>
      <c r="L120" s="115"/>
      <c r="M120" s="446">
        <f t="shared" si="17"/>
        <v>0</v>
      </c>
      <c r="N120" s="115"/>
      <c r="O120" s="446">
        <f t="shared" si="18"/>
        <v>0</v>
      </c>
      <c r="P120" s="446">
        <f t="shared" si="19"/>
        <v>0</v>
      </c>
    </row>
    <row r="121" spans="2:16">
      <c r="B121" s="7" t="str">
        <f t="shared" si="24"/>
        <v/>
      </c>
      <c r="C121" s="464">
        <f>IF(D93="","-",+C120+1)</f>
        <v>2043</v>
      </c>
      <c r="D121" s="465">
        <f>IF(F120+SUM(E$99:E120)=D$92,F120,D$92-SUM(E$99:E120))</f>
        <v>911397.39000000013</v>
      </c>
      <c r="E121" s="56">
        <f t="shared" si="31"/>
        <v>43400</v>
      </c>
      <c r="F121" s="466">
        <f t="shared" si="32"/>
        <v>867997.39000000013</v>
      </c>
      <c r="G121" s="466">
        <f t="shared" si="33"/>
        <v>889697.39000000013</v>
      </c>
      <c r="H121" s="113">
        <f t="shared" si="34"/>
        <v>139319.38400736041</v>
      </c>
      <c r="I121" s="122">
        <f t="shared" si="35"/>
        <v>139319.38400736041</v>
      </c>
      <c r="J121" s="446">
        <f t="shared" si="20"/>
        <v>0</v>
      </c>
      <c r="K121" s="446"/>
      <c r="L121" s="115"/>
      <c r="M121" s="446">
        <f t="shared" si="17"/>
        <v>0</v>
      </c>
      <c r="N121" s="115"/>
      <c r="O121" s="446">
        <f t="shared" si="18"/>
        <v>0</v>
      </c>
      <c r="P121" s="446">
        <f t="shared" si="19"/>
        <v>0</v>
      </c>
    </row>
    <row r="122" spans="2:16">
      <c r="B122" s="7" t="str">
        <f t="shared" si="24"/>
        <v/>
      </c>
      <c r="C122" s="464">
        <f>IF(D93="","-",+C121+1)</f>
        <v>2044</v>
      </c>
      <c r="D122" s="465">
        <f>IF(F121+SUM(E$99:E121)=D$92,F121,D$92-SUM(E$99:E121))</f>
        <v>867997.39000000013</v>
      </c>
      <c r="E122" s="56">
        <f t="shared" si="31"/>
        <v>43400</v>
      </c>
      <c r="F122" s="466">
        <f t="shared" si="32"/>
        <v>824597.39000000013</v>
      </c>
      <c r="G122" s="466">
        <f t="shared" si="33"/>
        <v>846297.39000000013</v>
      </c>
      <c r="H122" s="113">
        <f t="shared" si="34"/>
        <v>134640.37593932566</v>
      </c>
      <c r="I122" s="122">
        <f t="shared" si="35"/>
        <v>134640.37593932566</v>
      </c>
      <c r="J122" s="446">
        <f t="shared" si="20"/>
        <v>0</v>
      </c>
      <c r="K122" s="446"/>
      <c r="L122" s="115"/>
      <c r="M122" s="446">
        <f t="shared" si="17"/>
        <v>0</v>
      </c>
      <c r="N122" s="115"/>
      <c r="O122" s="446">
        <f t="shared" si="18"/>
        <v>0</v>
      </c>
      <c r="P122" s="446">
        <f t="shared" si="19"/>
        <v>0</v>
      </c>
    </row>
    <row r="123" spans="2:16">
      <c r="B123" s="7" t="str">
        <f t="shared" si="24"/>
        <v/>
      </c>
      <c r="C123" s="464">
        <f>IF(D93="","-",+C122+1)</f>
        <v>2045</v>
      </c>
      <c r="D123" s="465">
        <f>IF(F122+SUM(E$99:E122)=D$92,F122,D$92-SUM(E$99:E122))</f>
        <v>824597.39000000013</v>
      </c>
      <c r="E123" s="56">
        <f t="shared" si="31"/>
        <v>43400</v>
      </c>
      <c r="F123" s="466">
        <f t="shared" si="32"/>
        <v>781197.39000000013</v>
      </c>
      <c r="G123" s="466">
        <f t="shared" si="33"/>
        <v>802897.39000000013</v>
      </c>
      <c r="H123" s="113">
        <f t="shared" si="34"/>
        <v>129961.36787129095</v>
      </c>
      <c r="I123" s="122">
        <f t="shared" si="35"/>
        <v>129961.36787129095</v>
      </c>
      <c r="J123" s="446">
        <f t="shared" si="20"/>
        <v>0</v>
      </c>
      <c r="K123" s="446"/>
      <c r="L123" s="115"/>
      <c r="M123" s="446">
        <f t="shared" si="17"/>
        <v>0</v>
      </c>
      <c r="N123" s="115"/>
      <c r="O123" s="446">
        <f t="shared" si="18"/>
        <v>0</v>
      </c>
      <c r="P123" s="446">
        <f t="shared" si="19"/>
        <v>0</v>
      </c>
    </row>
    <row r="124" spans="2:16">
      <c r="B124" s="7" t="str">
        <f t="shared" si="24"/>
        <v/>
      </c>
      <c r="C124" s="464">
        <f>IF(D93="","-",+C123+1)</f>
        <v>2046</v>
      </c>
      <c r="D124" s="465">
        <f>IF(F123+SUM(E$99:E123)=D$92,F123,D$92-SUM(E$99:E123))</f>
        <v>781197.39000000013</v>
      </c>
      <c r="E124" s="56">
        <f t="shared" si="31"/>
        <v>43400</v>
      </c>
      <c r="F124" s="466">
        <f t="shared" si="32"/>
        <v>737797.39000000013</v>
      </c>
      <c r="G124" s="466">
        <f t="shared" si="33"/>
        <v>759497.39000000013</v>
      </c>
      <c r="H124" s="113">
        <f t="shared" si="34"/>
        <v>125282.35980325621</v>
      </c>
      <c r="I124" s="122">
        <f t="shared" si="35"/>
        <v>125282.35980325621</v>
      </c>
      <c r="J124" s="446">
        <f t="shared" si="20"/>
        <v>0</v>
      </c>
      <c r="K124" s="446"/>
      <c r="L124" s="115"/>
      <c r="M124" s="446">
        <f t="shared" si="17"/>
        <v>0</v>
      </c>
      <c r="N124" s="115"/>
      <c r="O124" s="446">
        <f t="shared" si="18"/>
        <v>0</v>
      </c>
      <c r="P124" s="446">
        <f t="shared" si="19"/>
        <v>0</v>
      </c>
    </row>
    <row r="125" spans="2:16">
      <c r="B125" s="7" t="str">
        <f t="shared" si="24"/>
        <v/>
      </c>
      <c r="C125" s="464">
        <f>IF(D93="","-",+C124+1)</f>
        <v>2047</v>
      </c>
      <c r="D125" s="465">
        <f>IF(F124+SUM(E$99:E124)=D$92,F124,D$92-SUM(E$99:E124))</f>
        <v>737797.39000000013</v>
      </c>
      <c r="E125" s="56">
        <f t="shared" si="31"/>
        <v>43400</v>
      </c>
      <c r="F125" s="466">
        <f t="shared" si="32"/>
        <v>694397.39000000013</v>
      </c>
      <c r="G125" s="466">
        <f t="shared" si="33"/>
        <v>716097.39000000013</v>
      </c>
      <c r="H125" s="113">
        <f t="shared" si="34"/>
        <v>120603.35173522148</v>
      </c>
      <c r="I125" s="122">
        <f t="shared" si="35"/>
        <v>120603.35173522148</v>
      </c>
      <c r="J125" s="446">
        <f t="shared" si="20"/>
        <v>0</v>
      </c>
      <c r="K125" s="446"/>
      <c r="L125" s="115"/>
      <c r="M125" s="446">
        <f t="shared" si="17"/>
        <v>0</v>
      </c>
      <c r="N125" s="115"/>
      <c r="O125" s="446">
        <f t="shared" si="18"/>
        <v>0</v>
      </c>
      <c r="P125" s="446">
        <f t="shared" si="19"/>
        <v>0</v>
      </c>
    </row>
    <row r="126" spans="2:16">
      <c r="B126" s="7" t="str">
        <f t="shared" si="24"/>
        <v/>
      </c>
      <c r="C126" s="464">
        <f>IF(D93="","-",+C125+1)</f>
        <v>2048</v>
      </c>
      <c r="D126" s="465">
        <f>IF(F125+SUM(E$99:E125)=D$92,F125,D$92-SUM(E$99:E125))</f>
        <v>694397.39000000013</v>
      </c>
      <c r="E126" s="56">
        <f t="shared" si="31"/>
        <v>43400</v>
      </c>
      <c r="F126" s="466">
        <f t="shared" si="32"/>
        <v>650997.39000000013</v>
      </c>
      <c r="G126" s="466">
        <f t="shared" si="33"/>
        <v>672697.39000000013</v>
      </c>
      <c r="H126" s="113">
        <f t="shared" si="34"/>
        <v>115924.34366718675</v>
      </c>
      <c r="I126" s="122">
        <f t="shared" si="35"/>
        <v>115924.34366718675</v>
      </c>
      <c r="J126" s="446">
        <f t="shared" si="20"/>
        <v>0</v>
      </c>
      <c r="K126" s="446"/>
      <c r="L126" s="115"/>
      <c r="M126" s="446">
        <f t="shared" si="17"/>
        <v>0</v>
      </c>
      <c r="N126" s="115"/>
      <c r="O126" s="446">
        <f t="shared" si="18"/>
        <v>0</v>
      </c>
      <c r="P126" s="446">
        <f t="shared" si="19"/>
        <v>0</v>
      </c>
    </row>
    <row r="127" spans="2:16">
      <c r="B127" s="7" t="str">
        <f t="shared" si="24"/>
        <v/>
      </c>
      <c r="C127" s="464">
        <f>IF(D93="","-",+C126+1)</f>
        <v>2049</v>
      </c>
      <c r="D127" s="465">
        <f>IF(F126+SUM(E$99:E126)=D$92,F126,D$92-SUM(E$99:E126))</f>
        <v>650997.39000000013</v>
      </c>
      <c r="E127" s="56">
        <f t="shared" si="31"/>
        <v>43400</v>
      </c>
      <c r="F127" s="466">
        <f t="shared" si="32"/>
        <v>607597.39000000013</v>
      </c>
      <c r="G127" s="466">
        <f t="shared" si="33"/>
        <v>629297.39000000013</v>
      </c>
      <c r="H127" s="113">
        <f t="shared" si="34"/>
        <v>111245.33559915202</v>
      </c>
      <c r="I127" s="122">
        <f t="shared" si="35"/>
        <v>111245.33559915202</v>
      </c>
      <c r="J127" s="446">
        <f t="shared" si="20"/>
        <v>0</v>
      </c>
      <c r="K127" s="446"/>
      <c r="L127" s="115"/>
      <c r="M127" s="446">
        <f t="shared" si="17"/>
        <v>0</v>
      </c>
      <c r="N127" s="115"/>
      <c r="O127" s="446">
        <f t="shared" si="18"/>
        <v>0</v>
      </c>
      <c r="P127" s="446">
        <f t="shared" si="19"/>
        <v>0</v>
      </c>
    </row>
    <row r="128" spans="2:16">
      <c r="B128" s="7" t="str">
        <f t="shared" si="24"/>
        <v/>
      </c>
      <c r="C128" s="464">
        <f>IF(D93="","-",+C127+1)</f>
        <v>2050</v>
      </c>
      <c r="D128" s="465">
        <f>IF(F127+SUM(E$99:E127)=D$92,F127,D$92-SUM(E$99:E127))</f>
        <v>607597.39000000013</v>
      </c>
      <c r="E128" s="56">
        <f t="shared" si="31"/>
        <v>43400</v>
      </c>
      <c r="F128" s="466">
        <f t="shared" si="32"/>
        <v>564197.39000000013</v>
      </c>
      <c r="G128" s="466">
        <f t="shared" si="33"/>
        <v>585897.39000000013</v>
      </c>
      <c r="H128" s="113">
        <f t="shared" si="34"/>
        <v>106566.32753111731</v>
      </c>
      <c r="I128" s="122">
        <f t="shared" si="35"/>
        <v>106566.32753111731</v>
      </c>
      <c r="J128" s="446">
        <f t="shared" si="20"/>
        <v>0</v>
      </c>
      <c r="K128" s="446"/>
      <c r="L128" s="115"/>
      <c r="M128" s="446">
        <f t="shared" si="17"/>
        <v>0</v>
      </c>
      <c r="N128" s="115"/>
      <c r="O128" s="446">
        <f t="shared" si="18"/>
        <v>0</v>
      </c>
      <c r="P128" s="446">
        <f t="shared" si="19"/>
        <v>0</v>
      </c>
    </row>
    <row r="129" spans="2:16">
      <c r="B129" s="7" t="str">
        <f t="shared" si="24"/>
        <v/>
      </c>
      <c r="C129" s="464">
        <f>IF(D93="","-",+C128+1)</f>
        <v>2051</v>
      </c>
      <c r="D129" s="465">
        <f>IF(F128+SUM(E$99:E128)=D$92,F128,D$92-SUM(E$99:E128))</f>
        <v>564197.39000000013</v>
      </c>
      <c r="E129" s="56">
        <f t="shared" si="31"/>
        <v>43400</v>
      </c>
      <c r="F129" s="466">
        <f t="shared" si="32"/>
        <v>520797.39000000013</v>
      </c>
      <c r="G129" s="466">
        <f t="shared" si="33"/>
        <v>542497.39000000013</v>
      </c>
      <c r="H129" s="113">
        <f t="shared" si="34"/>
        <v>101887.31946308256</v>
      </c>
      <c r="I129" s="122">
        <f t="shared" si="35"/>
        <v>101887.31946308256</v>
      </c>
      <c r="J129" s="446">
        <f t="shared" si="20"/>
        <v>0</v>
      </c>
      <c r="K129" s="446"/>
      <c r="L129" s="115"/>
      <c r="M129" s="446">
        <f t="shared" si="17"/>
        <v>0</v>
      </c>
      <c r="N129" s="115"/>
      <c r="O129" s="446">
        <f t="shared" si="18"/>
        <v>0</v>
      </c>
      <c r="P129" s="446">
        <f t="shared" si="19"/>
        <v>0</v>
      </c>
    </row>
    <row r="130" spans="2:16">
      <c r="B130" s="7" t="str">
        <f t="shared" si="24"/>
        <v/>
      </c>
      <c r="C130" s="464">
        <f>IF(D93="","-",+C129+1)</f>
        <v>2052</v>
      </c>
      <c r="D130" s="465">
        <f>IF(F129+SUM(E$99:E129)=D$92,F129,D$92-SUM(E$99:E129))</f>
        <v>520797.39000000013</v>
      </c>
      <c r="E130" s="56">
        <f t="shared" si="31"/>
        <v>43400</v>
      </c>
      <c r="F130" s="466">
        <f t="shared" si="32"/>
        <v>477397.39000000013</v>
      </c>
      <c r="G130" s="466">
        <f t="shared" si="33"/>
        <v>499097.39000000013</v>
      </c>
      <c r="H130" s="113">
        <f t="shared" si="34"/>
        <v>97208.311395047844</v>
      </c>
      <c r="I130" s="122">
        <f t="shared" si="35"/>
        <v>97208.311395047844</v>
      </c>
      <c r="J130" s="446">
        <f t="shared" si="20"/>
        <v>0</v>
      </c>
      <c r="K130" s="446"/>
      <c r="L130" s="115"/>
      <c r="M130" s="446">
        <f t="shared" si="17"/>
        <v>0</v>
      </c>
      <c r="N130" s="115"/>
      <c r="O130" s="446">
        <f t="shared" si="18"/>
        <v>0</v>
      </c>
      <c r="P130" s="446">
        <f t="shared" si="19"/>
        <v>0</v>
      </c>
    </row>
    <row r="131" spans="2:16">
      <c r="B131" s="7" t="str">
        <f t="shared" si="24"/>
        <v/>
      </c>
      <c r="C131" s="464">
        <f>IF(D93="","-",+C130+1)</f>
        <v>2053</v>
      </c>
      <c r="D131" s="465">
        <f>IF(F130+SUM(E$99:E130)=D$92,F130,D$92-SUM(E$99:E130))</f>
        <v>477397.39000000013</v>
      </c>
      <c r="E131" s="56">
        <f t="shared" si="31"/>
        <v>43400</v>
      </c>
      <c r="F131" s="466">
        <f t="shared" si="32"/>
        <v>433997.39000000013</v>
      </c>
      <c r="G131" s="466">
        <f t="shared" si="33"/>
        <v>455697.39000000013</v>
      </c>
      <c r="H131" s="113">
        <f t="shared" si="34"/>
        <v>92529.303327013113</v>
      </c>
      <c r="I131" s="122">
        <f t="shared" si="35"/>
        <v>92529.303327013113</v>
      </c>
      <c r="J131" s="446">
        <f t="shared" ref="J131:J154" si="36">+I541-H541</f>
        <v>0</v>
      </c>
      <c r="K131" s="446"/>
      <c r="L131" s="115"/>
      <c r="M131" s="446">
        <f t="shared" ref="M131:M154" si="37">IF(L541&lt;&gt;0,+H541-L541,0)</f>
        <v>0</v>
      </c>
      <c r="N131" s="115"/>
      <c r="O131" s="446">
        <f t="shared" ref="O131:O154" si="38">IF(N541&lt;&gt;0,+I541-N541,0)</f>
        <v>0</v>
      </c>
      <c r="P131" s="446">
        <f t="shared" ref="P131:P154" si="39">+O541-M541</f>
        <v>0</v>
      </c>
    </row>
    <row r="132" spans="2:16">
      <c r="B132" s="7" t="str">
        <f t="shared" si="24"/>
        <v/>
      </c>
      <c r="C132" s="464">
        <f>IF(D93="","-",+C131+1)</f>
        <v>2054</v>
      </c>
      <c r="D132" s="465">
        <f>IF(F131+SUM(E$99:E131)=D$92,F131,D$92-SUM(E$99:E131))</f>
        <v>433997.39000000013</v>
      </c>
      <c r="E132" s="56">
        <f t="shared" si="31"/>
        <v>43400</v>
      </c>
      <c r="F132" s="466">
        <f t="shared" si="32"/>
        <v>390597.39000000013</v>
      </c>
      <c r="G132" s="466">
        <f t="shared" si="33"/>
        <v>412297.39000000013</v>
      </c>
      <c r="H132" s="113">
        <f t="shared" si="34"/>
        <v>87850.295258978382</v>
      </c>
      <c r="I132" s="122">
        <f t="shared" si="35"/>
        <v>87850.295258978382</v>
      </c>
      <c r="J132" s="446">
        <f t="shared" si="36"/>
        <v>0</v>
      </c>
      <c r="K132" s="446"/>
      <c r="L132" s="115"/>
      <c r="M132" s="446">
        <f t="shared" si="37"/>
        <v>0</v>
      </c>
      <c r="N132" s="115"/>
      <c r="O132" s="446">
        <f t="shared" si="38"/>
        <v>0</v>
      </c>
      <c r="P132" s="446">
        <f t="shared" si="39"/>
        <v>0</v>
      </c>
    </row>
    <row r="133" spans="2:16">
      <c r="B133" s="7" t="str">
        <f t="shared" si="24"/>
        <v/>
      </c>
      <c r="C133" s="464">
        <f>IF(D93="","-",+C132+1)</f>
        <v>2055</v>
      </c>
      <c r="D133" s="465">
        <f>IF(F132+SUM(E$99:E132)=D$92,F132,D$92-SUM(E$99:E132))</f>
        <v>390597.39000000013</v>
      </c>
      <c r="E133" s="56">
        <f t="shared" si="31"/>
        <v>43400</v>
      </c>
      <c r="F133" s="466">
        <f t="shared" si="32"/>
        <v>347197.39000000013</v>
      </c>
      <c r="G133" s="466">
        <f t="shared" si="33"/>
        <v>368897.39000000013</v>
      </c>
      <c r="H133" s="113">
        <f t="shared" si="34"/>
        <v>83171.287190943651</v>
      </c>
      <c r="I133" s="122">
        <f t="shared" si="35"/>
        <v>83171.287190943651</v>
      </c>
      <c r="J133" s="446">
        <f t="shared" si="36"/>
        <v>0</v>
      </c>
      <c r="K133" s="446"/>
      <c r="L133" s="115"/>
      <c r="M133" s="446">
        <f t="shared" si="37"/>
        <v>0</v>
      </c>
      <c r="N133" s="115"/>
      <c r="O133" s="446">
        <f t="shared" si="38"/>
        <v>0</v>
      </c>
      <c r="P133" s="446">
        <f t="shared" si="39"/>
        <v>0</v>
      </c>
    </row>
    <row r="134" spans="2:16">
      <c r="B134" s="7" t="str">
        <f t="shared" si="24"/>
        <v/>
      </c>
      <c r="C134" s="464">
        <f>IF(D93="","-",+C133+1)</f>
        <v>2056</v>
      </c>
      <c r="D134" s="465">
        <f>IF(F133+SUM(E$99:E133)=D$92,F133,D$92-SUM(E$99:E133))</f>
        <v>347197.39000000013</v>
      </c>
      <c r="E134" s="56">
        <f t="shared" si="31"/>
        <v>43400</v>
      </c>
      <c r="F134" s="466">
        <f t="shared" si="32"/>
        <v>303797.39000000013</v>
      </c>
      <c r="G134" s="466">
        <f t="shared" si="33"/>
        <v>325497.39000000013</v>
      </c>
      <c r="H134" s="113">
        <f t="shared" si="34"/>
        <v>78492.27912290892</v>
      </c>
      <c r="I134" s="122">
        <f t="shared" si="35"/>
        <v>78492.27912290892</v>
      </c>
      <c r="J134" s="446">
        <f t="shared" si="36"/>
        <v>0</v>
      </c>
      <c r="K134" s="446"/>
      <c r="L134" s="115"/>
      <c r="M134" s="446">
        <f t="shared" si="37"/>
        <v>0</v>
      </c>
      <c r="N134" s="115"/>
      <c r="O134" s="446">
        <f t="shared" si="38"/>
        <v>0</v>
      </c>
      <c r="P134" s="446">
        <f t="shared" si="39"/>
        <v>0</v>
      </c>
    </row>
    <row r="135" spans="2:16">
      <c r="B135" s="7" t="str">
        <f t="shared" si="24"/>
        <v/>
      </c>
      <c r="C135" s="464">
        <f>IF(D93="","-",+C134+1)</f>
        <v>2057</v>
      </c>
      <c r="D135" s="465">
        <f>IF(F134+SUM(E$99:E134)=D$92,F134,D$92-SUM(E$99:E134))</f>
        <v>303797.39000000013</v>
      </c>
      <c r="E135" s="56">
        <f t="shared" si="31"/>
        <v>43400</v>
      </c>
      <c r="F135" s="466">
        <f t="shared" si="32"/>
        <v>260397.39000000013</v>
      </c>
      <c r="G135" s="466">
        <f t="shared" si="33"/>
        <v>282097.39000000013</v>
      </c>
      <c r="H135" s="113">
        <f t="shared" si="34"/>
        <v>73813.271054874203</v>
      </c>
      <c r="I135" s="122">
        <f t="shared" si="35"/>
        <v>73813.271054874203</v>
      </c>
      <c r="J135" s="446">
        <f t="shared" si="36"/>
        <v>0</v>
      </c>
      <c r="K135" s="446"/>
      <c r="L135" s="115"/>
      <c r="M135" s="446">
        <f t="shared" si="37"/>
        <v>0</v>
      </c>
      <c r="N135" s="115"/>
      <c r="O135" s="446">
        <f t="shared" si="38"/>
        <v>0</v>
      </c>
      <c r="P135" s="446">
        <f t="shared" si="39"/>
        <v>0</v>
      </c>
    </row>
    <row r="136" spans="2:16">
      <c r="B136" s="7" t="str">
        <f t="shared" si="24"/>
        <v/>
      </c>
      <c r="C136" s="464">
        <f>IF(D93="","-",+C135+1)</f>
        <v>2058</v>
      </c>
      <c r="D136" s="465">
        <f>IF(F135+SUM(E$99:E135)=D$92,F135,D$92-SUM(E$99:E135))</f>
        <v>260397.39000000013</v>
      </c>
      <c r="E136" s="56">
        <f t="shared" si="31"/>
        <v>43400</v>
      </c>
      <c r="F136" s="466">
        <f t="shared" si="32"/>
        <v>216997.39000000013</v>
      </c>
      <c r="G136" s="466">
        <f t="shared" si="33"/>
        <v>238697.39000000013</v>
      </c>
      <c r="H136" s="113">
        <f t="shared" si="34"/>
        <v>69134.262986839458</v>
      </c>
      <c r="I136" s="122">
        <f t="shared" si="35"/>
        <v>69134.262986839458</v>
      </c>
      <c r="J136" s="446">
        <f t="shared" si="36"/>
        <v>0</v>
      </c>
      <c r="K136" s="446"/>
      <c r="L136" s="115"/>
      <c r="M136" s="446">
        <f t="shared" si="37"/>
        <v>0</v>
      </c>
      <c r="N136" s="115"/>
      <c r="O136" s="446">
        <f t="shared" si="38"/>
        <v>0</v>
      </c>
      <c r="P136" s="446">
        <f t="shared" si="39"/>
        <v>0</v>
      </c>
    </row>
    <row r="137" spans="2:16">
      <c r="B137" s="7" t="str">
        <f t="shared" si="24"/>
        <v/>
      </c>
      <c r="C137" s="464">
        <f>IF(D93="","-",+C136+1)</f>
        <v>2059</v>
      </c>
      <c r="D137" s="465">
        <f>IF(F136+SUM(E$99:E136)=D$92,F136,D$92-SUM(E$99:E136))</f>
        <v>216997.39000000013</v>
      </c>
      <c r="E137" s="56">
        <f t="shared" si="31"/>
        <v>43400</v>
      </c>
      <c r="F137" s="466">
        <f t="shared" si="32"/>
        <v>173597.39000000013</v>
      </c>
      <c r="G137" s="466">
        <f t="shared" si="33"/>
        <v>195297.39000000013</v>
      </c>
      <c r="H137" s="113">
        <f t="shared" si="34"/>
        <v>64455.254918804741</v>
      </c>
      <c r="I137" s="122">
        <f t="shared" si="35"/>
        <v>64455.254918804741</v>
      </c>
      <c r="J137" s="446">
        <f t="shared" si="36"/>
        <v>0</v>
      </c>
      <c r="K137" s="446"/>
      <c r="L137" s="115"/>
      <c r="M137" s="446">
        <f t="shared" si="37"/>
        <v>0</v>
      </c>
      <c r="N137" s="115"/>
      <c r="O137" s="446">
        <f t="shared" si="38"/>
        <v>0</v>
      </c>
      <c r="P137" s="446">
        <f t="shared" si="39"/>
        <v>0</v>
      </c>
    </row>
    <row r="138" spans="2:16">
      <c r="B138" s="7" t="str">
        <f t="shared" si="24"/>
        <v/>
      </c>
      <c r="C138" s="464">
        <f>IF(D93="","-",+C137+1)</f>
        <v>2060</v>
      </c>
      <c r="D138" s="465">
        <f>IF(F137+SUM(E$99:E137)=D$92,F137,D$92-SUM(E$99:E137))</f>
        <v>173597.39000000013</v>
      </c>
      <c r="E138" s="56">
        <f t="shared" si="31"/>
        <v>43400</v>
      </c>
      <c r="F138" s="466">
        <f t="shared" si="32"/>
        <v>130197.39000000013</v>
      </c>
      <c r="G138" s="466">
        <f t="shared" si="33"/>
        <v>151897.39000000013</v>
      </c>
      <c r="H138" s="113">
        <f t="shared" si="34"/>
        <v>59776.24685077001</v>
      </c>
      <c r="I138" s="122">
        <f t="shared" si="35"/>
        <v>59776.24685077001</v>
      </c>
      <c r="J138" s="446">
        <f t="shared" si="36"/>
        <v>0</v>
      </c>
      <c r="K138" s="446"/>
      <c r="L138" s="115"/>
      <c r="M138" s="446">
        <f t="shared" si="37"/>
        <v>0</v>
      </c>
      <c r="N138" s="115"/>
      <c r="O138" s="446">
        <f t="shared" si="38"/>
        <v>0</v>
      </c>
      <c r="P138" s="446">
        <f t="shared" si="39"/>
        <v>0</v>
      </c>
    </row>
    <row r="139" spans="2:16">
      <c r="B139" s="7" t="str">
        <f t="shared" si="24"/>
        <v/>
      </c>
      <c r="C139" s="464">
        <f>IF(D93="","-",+C138+1)</f>
        <v>2061</v>
      </c>
      <c r="D139" s="465">
        <f>IF(F138+SUM(E$99:E138)=D$92,F138,D$92-SUM(E$99:E138))</f>
        <v>130197.39000000013</v>
      </c>
      <c r="E139" s="56">
        <f t="shared" si="31"/>
        <v>43400</v>
      </c>
      <c r="F139" s="466">
        <f t="shared" si="32"/>
        <v>86797.39000000013</v>
      </c>
      <c r="G139" s="466">
        <f t="shared" si="33"/>
        <v>108497.39000000013</v>
      </c>
      <c r="H139" s="113">
        <f t="shared" si="34"/>
        <v>55097.23878273528</v>
      </c>
      <c r="I139" s="122">
        <f t="shared" si="35"/>
        <v>55097.23878273528</v>
      </c>
      <c r="J139" s="446">
        <f t="shared" si="36"/>
        <v>0</v>
      </c>
      <c r="K139" s="446"/>
      <c r="L139" s="115"/>
      <c r="M139" s="446">
        <f t="shared" si="37"/>
        <v>0</v>
      </c>
      <c r="N139" s="115"/>
      <c r="O139" s="446">
        <f t="shared" si="38"/>
        <v>0</v>
      </c>
      <c r="P139" s="446">
        <f t="shared" si="39"/>
        <v>0</v>
      </c>
    </row>
    <row r="140" spans="2:16">
      <c r="B140" s="7" t="str">
        <f t="shared" si="24"/>
        <v/>
      </c>
      <c r="C140" s="464">
        <f>IF(D93="","-",+C139+1)</f>
        <v>2062</v>
      </c>
      <c r="D140" s="465">
        <f>IF(F139+SUM(E$99:E139)=D$92,F139,D$92-SUM(E$99:E139))</f>
        <v>86797.39000000013</v>
      </c>
      <c r="E140" s="56">
        <f t="shared" si="31"/>
        <v>43400</v>
      </c>
      <c r="F140" s="466">
        <f t="shared" si="32"/>
        <v>43397.39000000013</v>
      </c>
      <c r="G140" s="466">
        <f t="shared" si="33"/>
        <v>65097.39000000013</v>
      </c>
      <c r="H140" s="113">
        <f t="shared" si="34"/>
        <v>50418.230714700549</v>
      </c>
      <c r="I140" s="122">
        <f t="shared" si="35"/>
        <v>50418.230714700549</v>
      </c>
      <c r="J140" s="446">
        <f t="shared" si="36"/>
        <v>0</v>
      </c>
      <c r="K140" s="446"/>
      <c r="L140" s="115"/>
      <c r="M140" s="446">
        <f t="shared" si="37"/>
        <v>0</v>
      </c>
      <c r="N140" s="115"/>
      <c r="O140" s="446">
        <f t="shared" si="38"/>
        <v>0</v>
      </c>
      <c r="P140" s="446">
        <f t="shared" si="39"/>
        <v>0</v>
      </c>
    </row>
    <row r="141" spans="2:16">
      <c r="B141" s="7" t="str">
        <f t="shared" si="24"/>
        <v/>
      </c>
      <c r="C141" s="464">
        <f>IF(D93="","-",+C140+1)</f>
        <v>2063</v>
      </c>
      <c r="D141" s="465">
        <f>IF(F140+SUM(E$99:E140)=D$92,F140,D$92-SUM(E$99:E140))</f>
        <v>43397.39000000013</v>
      </c>
      <c r="E141" s="56">
        <f t="shared" si="31"/>
        <v>43397.39000000013</v>
      </c>
      <c r="F141" s="466">
        <f t="shared" si="32"/>
        <v>0</v>
      </c>
      <c r="G141" s="466">
        <f t="shared" si="33"/>
        <v>21698.695000000065</v>
      </c>
      <c r="H141" s="113">
        <f t="shared" si="34"/>
        <v>45736.753340341726</v>
      </c>
      <c r="I141" s="122">
        <f t="shared" si="35"/>
        <v>45736.753340341726</v>
      </c>
      <c r="J141" s="446">
        <f t="shared" si="36"/>
        <v>0</v>
      </c>
      <c r="K141" s="446"/>
      <c r="L141" s="115"/>
      <c r="M141" s="446">
        <f t="shared" si="37"/>
        <v>0</v>
      </c>
      <c r="N141" s="115"/>
      <c r="O141" s="446">
        <f t="shared" si="38"/>
        <v>0</v>
      </c>
      <c r="P141" s="446">
        <f t="shared" si="39"/>
        <v>0</v>
      </c>
    </row>
    <row r="142" spans="2:16">
      <c r="B142" s="7" t="str">
        <f t="shared" si="24"/>
        <v/>
      </c>
      <c r="C142" s="464">
        <f>IF(D93="","-",+C141+1)</f>
        <v>2064</v>
      </c>
      <c r="D142" s="465">
        <f>IF(F141+SUM(E$99:E141)=D$92,F141,D$92-SUM(E$99:E141))</f>
        <v>0</v>
      </c>
      <c r="E142" s="56">
        <f t="shared" si="31"/>
        <v>0</v>
      </c>
      <c r="F142" s="466">
        <f t="shared" si="32"/>
        <v>0</v>
      </c>
      <c r="G142" s="466">
        <f t="shared" si="33"/>
        <v>0</v>
      </c>
      <c r="H142" s="113">
        <f t="shared" si="34"/>
        <v>0</v>
      </c>
      <c r="I142" s="122">
        <f t="shared" si="35"/>
        <v>0</v>
      </c>
      <c r="J142" s="446">
        <f t="shared" si="36"/>
        <v>0</v>
      </c>
      <c r="K142" s="446"/>
      <c r="L142" s="115"/>
      <c r="M142" s="446">
        <f t="shared" si="37"/>
        <v>0</v>
      </c>
      <c r="N142" s="115"/>
      <c r="O142" s="446">
        <f t="shared" si="38"/>
        <v>0</v>
      </c>
      <c r="P142" s="446">
        <f t="shared" si="39"/>
        <v>0</v>
      </c>
    </row>
    <row r="143" spans="2:16">
      <c r="B143" s="7" t="str">
        <f t="shared" si="24"/>
        <v/>
      </c>
      <c r="C143" s="464">
        <f>IF(D93="","-",+C142+1)</f>
        <v>2065</v>
      </c>
      <c r="D143" s="465">
        <f>IF(F142+SUM(E$99:E142)=D$92,F142,D$92-SUM(E$99:E142))</f>
        <v>0</v>
      </c>
      <c r="E143" s="56">
        <f t="shared" si="31"/>
        <v>0</v>
      </c>
      <c r="F143" s="466">
        <f t="shared" si="32"/>
        <v>0</v>
      </c>
      <c r="G143" s="466">
        <f t="shared" si="33"/>
        <v>0</v>
      </c>
      <c r="H143" s="113">
        <f t="shared" si="34"/>
        <v>0</v>
      </c>
      <c r="I143" s="122">
        <f t="shared" si="35"/>
        <v>0</v>
      </c>
      <c r="J143" s="446">
        <f t="shared" si="36"/>
        <v>0</v>
      </c>
      <c r="K143" s="446"/>
      <c r="L143" s="115"/>
      <c r="M143" s="446">
        <f t="shared" si="37"/>
        <v>0</v>
      </c>
      <c r="N143" s="115"/>
      <c r="O143" s="446">
        <f t="shared" si="38"/>
        <v>0</v>
      </c>
      <c r="P143" s="446">
        <f t="shared" si="39"/>
        <v>0</v>
      </c>
    </row>
    <row r="144" spans="2:16">
      <c r="B144" s="7" t="str">
        <f t="shared" si="24"/>
        <v/>
      </c>
      <c r="C144" s="464">
        <f>IF(D93="","-",+C143+1)</f>
        <v>2066</v>
      </c>
      <c r="D144" s="465">
        <f>IF(F143+SUM(E$99:E143)=D$92,F143,D$92-SUM(E$99:E143))</f>
        <v>0</v>
      </c>
      <c r="E144" s="56">
        <f t="shared" si="31"/>
        <v>0</v>
      </c>
      <c r="F144" s="466">
        <f t="shared" si="32"/>
        <v>0</v>
      </c>
      <c r="G144" s="466">
        <f t="shared" si="33"/>
        <v>0</v>
      </c>
      <c r="H144" s="113">
        <f t="shared" si="34"/>
        <v>0</v>
      </c>
      <c r="I144" s="122">
        <f t="shared" si="35"/>
        <v>0</v>
      </c>
      <c r="J144" s="446">
        <f t="shared" si="36"/>
        <v>0</v>
      </c>
      <c r="K144" s="446"/>
      <c r="L144" s="115"/>
      <c r="M144" s="446">
        <f t="shared" si="37"/>
        <v>0</v>
      </c>
      <c r="N144" s="115"/>
      <c r="O144" s="446">
        <f t="shared" si="38"/>
        <v>0</v>
      </c>
      <c r="P144" s="446">
        <f t="shared" si="39"/>
        <v>0</v>
      </c>
    </row>
    <row r="145" spans="2:16">
      <c r="B145" s="7" t="str">
        <f t="shared" si="24"/>
        <v/>
      </c>
      <c r="C145" s="464">
        <f>IF(D93="","-",+C144+1)</f>
        <v>2067</v>
      </c>
      <c r="D145" s="465">
        <f>IF(F144+SUM(E$99:E144)=D$92,F144,D$92-SUM(E$99:E144))</f>
        <v>0</v>
      </c>
      <c r="E145" s="56">
        <f t="shared" si="31"/>
        <v>0</v>
      </c>
      <c r="F145" s="466">
        <f t="shared" si="32"/>
        <v>0</v>
      </c>
      <c r="G145" s="466">
        <f t="shared" si="33"/>
        <v>0</v>
      </c>
      <c r="H145" s="113">
        <f t="shared" si="34"/>
        <v>0</v>
      </c>
      <c r="I145" s="122">
        <f t="shared" si="35"/>
        <v>0</v>
      </c>
      <c r="J145" s="446">
        <f t="shared" si="36"/>
        <v>0</v>
      </c>
      <c r="K145" s="446"/>
      <c r="L145" s="115"/>
      <c r="M145" s="446">
        <f t="shared" si="37"/>
        <v>0</v>
      </c>
      <c r="N145" s="115"/>
      <c r="O145" s="446">
        <f t="shared" si="38"/>
        <v>0</v>
      </c>
      <c r="P145" s="446">
        <f t="shared" si="39"/>
        <v>0</v>
      </c>
    </row>
    <row r="146" spans="2:16">
      <c r="B146" s="7" t="str">
        <f t="shared" si="24"/>
        <v/>
      </c>
      <c r="C146" s="464">
        <f>IF(D93="","-",+C145+1)</f>
        <v>2068</v>
      </c>
      <c r="D146" s="465">
        <f>IF(F145+SUM(E$99:E145)=D$92,F145,D$92-SUM(E$99:E145))</f>
        <v>0</v>
      </c>
      <c r="E146" s="56">
        <f t="shared" si="31"/>
        <v>0</v>
      </c>
      <c r="F146" s="466">
        <f t="shared" si="32"/>
        <v>0</v>
      </c>
      <c r="G146" s="466">
        <f t="shared" si="33"/>
        <v>0</v>
      </c>
      <c r="H146" s="113">
        <f t="shared" si="34"/>
        <v>0</v>
      </c>
      <c r="I146" s="122">
        <f t="shared" si="35"/>
        <v>0</v>
      </c>
      <c r="J146" s="446">
        <f t="shared" si="36"/>
        <v>0</v>
      </c>
      <c r="K146" s="446"/>
      <c r="L146" s="115"/>
      <c r="M146" s="446">
        <f t="shared" si="37"/>
        <v>0</v>
      </c>
      <c r="N146" s="115"/>
      <c r="O146" s="446">
        <f t="shared" si="38"/>
        <v>0</v>
      </c>
      <c r="P146" s="446">
        <f t="shared" si="39"/>
        <v>0</v>
      </c>
    </row>
    <row r="147" spans="2:16">
      <c r="B147" s="7" t="str">
        <f t="shared" si="24"/>
        <v/>
      </c>
      <c r="C147" s="464">
        <f>IF(D93="","-",+C146+1)</f>
        <v>2069</v>
      </c>
      <c r="D147" s="465">
        <f>IF(F146+SUM(E$99:E146)=D$92,F146,D$92-SUM(E$99:E146))</f>
        <v>0</v>
      </c>
      <c r="E147" s="56">
        <f t="shared" si="31"/>
        <v>0</v>
      </c>
      <c r="F147" s="466">
        <f t="shared" si="32"/>
        <v>0</v>
      </c>
      <c r="G147" s="466">
        <f t="shared" si="33"/>
        <v>0</v>
      </c>
      <c r="H147" s="113">
        <f t="shared" si="34"/>
        <v>0</v>
      </c>
      <c r="I147" s="122">
        <f t="shared" si="35"/>
        <v>0</v>
      </c>
      <c r="J147" s="446">
        <f t="shared" si="36"/>
        <v>0</v>
      </c>
      <c r="K147" s="446"/>
      <c r="L147" s="115"/>
      <c r="M147" s="446">
        <f t="shared" si="37"/>
        <v>0</v>
      </c>
      <c r="N147" s="115"/>
      <c r="O147" s="446">
        <f t="shared" si="38"/>
        <v>0</v>
      </c>
      <c r="P147" s="446">
        <f t="shared" si="39"/>
        <v>0</v>
      </c>
    </row>
    <row r="148" spans="2:16">
      <c r="B148" s="7" t="str">
        <f t="shared" si="24"/>
        <v/>
      </c>
      <c r="C148" s="464">
        <f>IF(D93="","-",+C147+1)</f>
        <v>2070</v>
      </c>
      <c r="D148" s="465">
        <f>IF(F147+SUM(E$99:E147)=D$92,F147,D$92-SUM(E$99:E147))</f>
        <v>0</v>
      </c>
      <c r="E148" s="56">
        <f t="shared" si="31"/>
        <v>0</v>
      </c>
      <c r="F148" s="466">
        <f t="shared" si="32"/>
        <v>0</v>
      </c>
      <c r="G148" s="466">
        <f t="shared" si="33"/>
        <v>0</v>
      </c>
      <c r="H148" s="113">
        <f t="shared" si="34"/>
        <v>0</v>
      </c>
      <c r="I148" s="122">
        <f t="shared" si="35"/>
        <v>0</v>
      </c>
      <c r="J148" s="446">
        <f t="shared" si="36"/>
        <v>0</v>
      </c>
      <c r="K148" s="446"/>
      <c r="L148" s="115"/>
      <c r="M148" s="446">
        <f t="shared" si="37"/>
        <v>0</v>
      </c>
      <c r="N148" s="115"/>
      <c r="O148" s="446">
        <f t="shared" si="38"/>
        <v>0</v>
      </c>
      <c r="P148" s="446">
        <f t="shared" si="39"/>
        <v>0</v>
      </c>
    </row>
    <row r="149" spans="2:16">
      <c r="B149" s="7" t="str">
        <f t="shared" si="24"/>
        <v/>
      </c>
      <c r="C149" s="464">
        <f>IF(D93="","-",+C148+1)</f>
        <v>2071</v>
      </c>
      <c r="D149" s="465">
        <f>IF(F148+SUM(E$99:E148)=D$92,F148,D$92-SUM(E$99:E148))</f>
        <v>0</v>
      </c>
      <c r="E149" s="56">
        <f t="shared" si="31"/>
        <v>0</v>
      </c>
      <c r="F149" s="466">
        <f t="shared" si="32"/>
        <v>0</v>
      </c>
      <c r="G149" s="466">
        <f t="shared" si="33"/>
        <v>0</v>
      </c>
      <c r="H149" s="113">
        <f t="shared" si="34"/>
        <v>0</v>
      </c>
      <c r="I149" s="122">
        <f t="shared" si="35"/>
        <v>0</v>
      </c>
      <c r="J149" s="446">
        <f t="shared" si="36"/>
        <v>0</v>
      </c>
      <c r="K149" s="446"/>
      <c r="L149" s="115"/>
      <c r="M149" s="446">
        <f t="shared" si="37"/>
        <v>0</v>
      </c>
      <c r="N149" s="115"/>
      <c r="O149" s="446">
        <f t="shared" si="38"/>
        <v>0</v>
      </c>
      <c r="P149" s="446">
        <f t="shared" si="39"/>
        <v>0</v>
      </c>
    </row>
    <row r="150" spans="2:16">
      <c r="B150" s="7" t="str">
        <f t="shared" si="24"/>
        <v/>
      </c>
      <c r="C150" s="464">
        <f>IF(D93="","-",+C149+1)</f>
        <v>2072</v>
      </c>
      <c r="D150" s="465">
        <f>IF(F149+SUM(E$99:E149)=D$92,F149,D$92-SUM(E$99:E149))</f>
        <v>0</v>
      </c>
      <c r="E150" s="56">
        <f t="shared" si="31"/>
        <v>0</v>
      </c>
      <c r="F150" s="466">
        <f t="shared" si="32"/>
        <v>0</v>
      </c>
      <c r="G150" s="466">
        <f t="shared" si="33"/>
        <v>0</v>
      </c>
      <c r="H150" s="113">
        <f t="shared" si="34"/>
        <v>0</v>
      </c>
      <c r="I150" s="122">
        <f t="shared" si="35"/>
        <v>0</v>
      </c>
      <c r="J150" s="446">
        <f t="shared" si="36"/>
        <v>0</v>
      </c>
      <c r="K150" s="446"/>
      <c r="L150" s="115"/>
      <c r="M150" s="446">
        <f t="shared" si="37"/>
        <v>0</v>
      </c>
      <c r="N150" s="115"/>
      <c r="O150" s="446">
        <f t="shared" si="38"/>
        <v>0</v>
      </c>
      <c r="P150" s="446">
        <f t="shared" si="39"/>
        <v>0</v>
      </c>
    </row>
    <row r="151" spans="2:16">
      <c r="B151" s="7" t="str">
        <f t="shared" si="24"/>
        <v/>
      </c>
      <c r="C151" s="464">
        <f>IF(D93="","-",+C150+1)</f>
        <v>2073</v>
      </c>
      <c r="D151" s="465">
        <f>IF(F150+SUM(E$99:E150)=D$92,F150,D$92-SUM(E$99:E150))</f>
        <v>0</v>
      </c>
      <c r="E151" s="56">
        <f t="shared" si="31"/>
        <v>0</v>
      </c>
      <c r="F151" s="466">
        <f t="shared" si="32"/>
        <v>0</v>
      </c>
      <c r="G151" s="466">
        <f t="shared" si="33"/>
        <v>0</v>
      </c>
      <c r="H151" s="113">
        <f t="shared" si="34"/>
        <v>0</v>
      </c>
      <c r="I151" s="122">
        <f t="shared" si="35"/>
        <v>0</v>
      </c>
      <c r="J151" s="446">
        <f t="shared" si="36"/>
        <v>0</v>
      </c>
      <c r="K151" s="446"/>
      <c r="L151" s="115"/>
      <c r="M151" s="446">
        <f t="shared" si="37"/>
        <v>0</v>
      </c>
      <c r="N151" s="115"/>
      <c r="O151" s="446">
        <f t="shared" si="38"/>
        <v>0</v>
      </c>
      <c r="P151" s="446">
        <f t="shared" si="39"/>
        <v>0</v>
      </c>
    </row>
    <row r="152" spans="2:16">
      <c r="B152" s="7" t="str">
        <f t="shared" si="24"/>
        <v/>
      </c>
      <c r="C152" s="464">
        <f>IF(D93="","-",+C151+1)</f>
        <v>2074</v>
      </c>
      <c r="D152" s="465">
        <f>IF(F151+SUM(E$99:E151)=D$92,F151,D$92-SUM(E$99:E151))</f>
        <v>0</v>
      </c>
      <c r="E152" s="56">
        <f t="shared" si="31"/>
        <v>0</v>
      </c>
      <c r="F152" s="466">
        <f t="shared" si="32"/>
        <v>0</v>
      </c>
      <c r="G152" s="466">
        <f t="shared" si="33"/>
        <v>0</v>
      </c>
      <c r="H152" s="113">
        <f t="shared" si="34"/>
        <v>0</v>
      </c>
      <c r="I152" s="122">
        <f t="shared" si="35"/>
        <v>0</v>
      </c>
      <c r="J152" s="446">
        <f t="shared" si="36"/>
        <v>0</v>
      </c>
      <c r="K152" s="446"/>
      <c r="L152" s="115"/>
      <c r="M152" s="446">
        <f t="shared" si="37"/>
        <v>0</v>
      </c>
      <c r="N152" s="115"/>
      <c r="O152" s="446">
        <f t="shared" si="38"/>
        <v>0</v>
      </c>
      <c r="P152" s="446">
        <f t="shared" si="39"/>
        <v>0</v>
      </c>
    </row>
    <row r="153" spans="2:16">
      <c r="B153" s="7" t="str">
        <f t="shared" si="24"/>
        <v/>
      </c>
      <c r="C153" s="464">
        <f>IF(D93="","-",+C152+1)</f>
        <v>2075</v>
      </c>
      <c r="D153" s="465">
        <f>IF(F152+SUM(E$99:E152)=D$92,F152,D$92-SUM(E$99:E152))</f>
        <v>0</v>
      </c>
      <c r="E153" s="56">
        <f t="shared" si="31"/>
        <v>0</v>
      </c>
      <c r="F153" s="466">
        <f t="shared" si="32"/>
        <v>0</v>
      </c>
      <c r="G153" s="466">
        <f t="shared" si="33"/>
        <v>0</v>
      </c>
      <c r="H153" s="113">
        <f t="shared" si="34"/>
        <v>0</v>
      </c>
      <c r="I153" s="122">
        <f t="shared" si="35"/>
        <v>0</v>
      </c>
      <c r="J153" s="446">
        <f t="shared" si="36"/>
        <v>0</v>
      </c>
      <c r="K153" s="446"/>
      <c r="L153" s="115"/>
      <c r="M153" s="446">
        <f t="shared" si="37"/>
        <v>0</v>
      </c>
      <c r="N153" s="115"/>
      <c r="O153" s="446">
        <f t="shared" si="38"/>
        <v>0</v>
      </c>
      <c r="P153" s="446">
        <f t="shared" si="39"/>
        <v>0</v>
      </c>
    </row>
    <row r="154" spans="2:16" ht="13.5" thickBot="1">
      <c r="B154" s="7" t="str">
        <f t="shared" si="24"/>
        <v/>
      </c>
      <c r="C154" s="471">
        <f>IF(D93="","-",+C153+1)</f>
        <v>2076</v>
      </c>
      <c r="D154" s="492">
        <f>IF(F153+SUM(E$99:E153)=D$92,F153,D$92-SUM(E$99:E153))</f>
        <v>0</v>
      </c>
      <c r="E154" s="60">
        <f t="shared" si="31"/>
        <v>0</v>
      </c>
      <c r="F154" s="472">
        <f t="shared" si="32"/>
        <v>0</v>
      </c>
      <c r="G154" s="472">
        <f t="shared" si="33"/>
        <v>0</v>
      </c>
      <c r="H154" s="123">
        <f t="shared" si="34"/>
        <v>0</v>
      </c>
      <c r="I154" s="124">
        <f t="shared" si="35"/>
        <v>0</v>
      </c>
      <c r="J154" s="475">
        <f t="shared" si="36"/>
        <v>0</v>
      </c>
      <c r="K154" s="446"/>
      <c r="L154" s="116"/>
      <c r="M154" s="475">
        <f t="shared" si="37"/>
        <v>0</v>
      </c>
      <c r="N154" s="116"/>
      <c r="O154" s="475">
        <f t="shared" si="38"/>
        <v>0</v>
      </c>
      <c r="P154" s="475">
        <f t="shared" si="39"/>
        <v>0</v>
      </c>
    </row>
    <row r="155" spans="2:16">
      <c r="C155" s="465" t="s">
        <v>77</v>
      </c>
      <c r="D155" s="453"/>
      <c r="E155" s="453">
        <f>SUM(E99:E154)</f>
        <v>1822797.3900000001</v>
      </c>
      <c r="F155" s="453"/>
      <c r="G155" s="453"/>
      <c r="H155" s="453">
        <f>SUM(H99:H154)</f>
        <v>6030774.9559912765</v>
      </c>
      <c r="I155" s="453">
        <f>SUM(I99:I154)</f>
        <v>6030774.9559912765</v>
      </c>
      <c r="J155" s="453">
        <f>SUM(J99:J154)</f>
        <v>0</v>
      </c>
      <c r="K155" s="453"/>
      <c r="L155" s="453"/>
      <c r="M155" s="453"/>
      <c r="N155" s="453"/>
      <c r="O155" s="453"/>
      <c r="P155" s="449"/>
    </row>
    <row r="156" spans="2:16">
      <c r="C156" t="s">
        <v>100</v>
      </c>
      <c r="D156" s="450"/>
      <c r="E156" s="449"/>
      <c r="F156" s="449"/>
      <c r="G156" s="449"/>
      <c r="H156" s="449"/>
      <c r="I156" s="452"/>
      <c r="J156" s="452"/>
      <c r="K156" s="453"/>
      <c r="L156" s="452"/>
      <c r="M156" s="452"/>
      <c r="N156" s="452"/>
      <c r="O156" s="452"/>
      <c r="P156" s="449"/>
    </row>
    <row r="157" spans="2:16">
      <c r="C157" s="83"/>
      <c r="D157" s="450"/>
      <c r="E157" s="449"/>
      <c r="F157" s="449"/>
      <c r="G157" s="449"/>
      <c r="H157" s="449"/>
      <c r="I157" s="452"/>
      <c r="J157" s="452"/>
      <c r="K157" s="453"/>
      <c r="L157" s="452"/>
      <c r="M157" s="452"/>
      <c r="N157" s="452"/>
      <c r="O157" s="452"/>
      <c r="P157" s="449"/>
    </row>
    <row r="158" spans="2:16">
      <c r="C158" s="98" t="s">
        <v>148</v>
      </c>
      <c r="D158" s="450"/>
      <c r="E158" s="449"/>
      <c r="F158" s="449"/>
      <c r="G158" s="449"/>
      <c r="H158" s="449"/>
      <c r="I158" s="452"/>
      <c r="J158" s="452"/>
      <c r="K158" s="453"/>
      <c r="L158" s="452"/>
      <c r="M158" s="452"/>
      <c r="N158" s="452"/>
      <c r="O158" s="452"/>
      <c r="P158" s="449"/>
    </row>
    <row r="159" spans="2:16">
      <c r="C159" s="26" t="s">
        <v>78</v>
      </c>
      <c r="D159" s="465"/>
      <c r="E159" s="465"/>
      <c r="F159" s="465"/>
      <c r="G159" s="465"/>
      <c r="H159" s="453"/>
      <c r="I159" s="453"/>
      <c r="J159" s="476"/>
      <c r="K159" s="476"/>
      <c r="L159" s="476"/>
      <c r="M159" s="476"/>
      <c r="N159" s="476"/>
      <c r="O159" s="476"/>
      <c r="P159" s="449"/>
    </row>
    <row r="160" spans="2:16">
      <c r="C160" s="84" t="s">
        <v>79</v>
      </c>
      <c r="D160" s="465"/>
      <c r="E160" s="465"/>
      <c r="F160" s="465"/>
      <c r="G160" s="465"/>
      <c r="H160" s="453"/>
      <c r="I160" s="453"/>
      <c r="J160" s="476"/>
      <c r="K160" s="476"/>
      <c r="L160" s="476"/>
      <c r="M160" s="476"/>
      <c r="N160" s="476"/>
      <c r="O160" s="476"/>
      <c r="P160" s="449"/>
    </row>
    <row r="161" spans="3:16">
      <c r="C161" s="84"/>
      <c r="D161" s="465"/>
      <c r="E161" s="465"/>
      <c r="F161" s="465"/>
      <c r="G161" s="465"/>
      <c r="H161" s="453"/>
      <c r="I161" s="453"/>
      <c r="J161" s="476"/>
      <c r="K161" s="476"/>
      <c r="L161" s="476"/>
      <c r="M161" s="476"/>
      <c r="N161" s="476"/>
      <c r="O161" s="476"/>
      <c r="P161" s="449"/>
    </row>
    <row r="162" spans="3:16" ht="18">
      <c r="C162" s="84"/>
      <c r="D162" s="465"/>
      <c r="E162" s="465"/>
      <c r="F162" s="465"/>
      <c r="G162" s="465"/>
      <c r="H162" s="453"/>
      <c r="I162" s="453"/>
      <c r="J162" s="476"/>
      <c r="K162" s="476"/>
      <c r="L162" s="476"/>
      <c r="M162" s="476"/>
      <c r="N162" s="476"/>
      <c r="P162" s="96" t="s">
        <v>145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4" header="0.25" footer="0.5"/>
  <pageSetup scale="47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14A11-00CC-4B7E-A7D5-813C3E523491}">
  <dimension ref="A1:P162"/>
  <sheetViews>
    <sheetView topLeftCell="A80" zoomScale="80" zoomScaleNormal="80" workbookViewId="0">
      <selection activeCell="M29" sqref="M29"/>
    </sheetView>
  </sheetViews>
  <sheetFormatPr defaultColWidth="8.7109375" defaultRowHeight="12.75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449"/>
      <c r="C1" s="449"/>
      <c r="D1" s="450"/>
      <c r="E1" s="449"/>
      <c r="F1" s="451"/>
      <c r="G1" s="449"/>
      <c r="H1" s="45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31 of 36</v>
      </c>
    </row>
    <row r="2" spans="1:16" ht="18">
      <c r="B2" s="449"/>
      <c r="C2" s="449"/>
      <c r="D2" s="450"/>
      <c r="E2" s="449"/>
      <c r="F2" s="449"/>
      <c r="G2" s="449"/>
      <c r="H2" s="452"/>
      <c r="I2" s="449"/>
      <c r="J2" s="449"/>
      <c r="K2" s="449"/>
      <c r="L2" s="449"/>
      <c r="M2" s="449"/>
      <c r="N2" s="449"/>
      <c r="P2" s="100" t="s">
        <v>150</v>
      </c>
    </row>
    <row r="3" spans="1:16" ht="18.75">
      <c r="B3" s="4" t="s">
        <v>42</v>
      </c>
      <c r="C3" s="10" t="s">
        <v>43</v>
      </c>
      <c r="D3" s="450"/>
      <c r="E3" s="449"/>
      <c r="F3" s="449"/>
      <c r="G3" s="449"/>
      <c r="H3" s="452"/>
      <c r="I3" s="452"/>
      <c r="J3" s="453"/>
      <c r="K3" s="452"/>
      <c r="L3" s="452"/>
      <c r="M3" s="452"/>
      <c r="N3" s="452"/>
      <c r="O3" s="449"/>
      <c r="P3" s="92">
        <v>1</v>
      </c>
    </row>
    <row r="4" spans="1:16" ht="15.75" thickBot="1">
      <c r="C4" s="247"/>
      <c r="D4" s="450"/>
      <c r="E4" s="449"/>
      <c r="F4" s="449"/>
      <c r="G4" s="449"/>
      <c r="H4" s="452"/>
      <c r="I4" s="452"/>
      <c r="J4" s="453"/>
      <c r="K4" s="452"/>
      <c r="L4" s="452"/>
      <c r="M4" s="452"/>
      <c r="N4" s="452"/>
      <c r="O4" s="449"/>
      <c r="P4" s="449"/>
    </row>
    <row r="5" spans="1:16" ht="15">
      <c r="C5" s="15" t="s">
        <v>44</v>
      </c>
      <c r="D5" s="450"/>
      <c r="E5" s="449"/>
      <c r="F5" s="449"/>
      <c r="G5" s="325"/>
      <c r="H5" s="449" t="s">
        <v>45</v>
      </c>
      <c r="I5" s="449"/>
      <c r="J5" s="449"/>
      <c r="K5" s="17" t="s">
        <v>279</v>
      </c>
      <c r="L5" s="18"/>
      <c r="M5" s="454"/>
      <c r="N5" s="326">
        <f>VLOOKUP(I10,C17:I72,5)</f>
        <v>9404.9807754816138</v>
      </c>
      <c r="P5" s="449"/>
    </row>
    <row r="6" spans="1:16" ht="15.75">
      <c r="C6" s="6"/>
      <c r="D6" s="450"/>
      <c r="E6" s="449"/>
      <c r="F6" s="449"/>
      <c r="G6" s="449"/>
      <c r="H6" s="327"/>
      <c r="I6" s="327"/>
      <c r="J6" s="328"/>
      <c r="K6" s="23" t="s">
        <v>280</v>
      </c>
      <c r="L6" s="329"/>
      <c r="M6" s="449"/>
      <c r="N6" s="330">
        <f>VLOOKUP(I10,C17:I72,6)</f>
        <v>9404.9807754816138</v>
      </c>
      <c r="O6" s="449"/>
      <c r="P6" s="449"/>
    </row>
    <row r="7" spans="1:16" ht="13.5" thickBot="1">
      <c r="C7" s="26" t="s">
        <v>46</v>
      </c>
      <c r="D7" s="437" t="s">
        <v>340</v>
      </c>
      <c r="E7" s="449"/>
      <c r="F7" s="449"/>
      <c r="G7" s="449"/>
      <c r="H7" s="452"/>
      <c r="I7" s="452"/>
      <c r="J7" s="453"/>
      <c r="K7" s="332" t="s">
        <v>47</v>
      </c>
      <c r="L7" s="455"/>
      <c r="M7" s="455"/>
      <c r="N7" s="456">
        <f>+N6-N5</f>
        <v>0</v>
      </c>
      <c r="O7" s="449"/>
      <c r="P7" s="449"/>
    </row>
    <row r="8" spans="1:16" ht="13.5" thickBot="1">
      <c r="C8" s="30"/>
      <c r="D8" s="83"/>
      <c r="E8" s="457"/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49"/>
    </row>
    <row r="9" spans="1:16" ht="13.5" thickBot="1">
      <c r="C9" s="31" t="s">
        <v>48</v>
      </c>
      <c r="D9" s="90" t="s">
        <v>341</v>
      </c>
      <c r="E9" s="438" t="s">
        <v>342</v>
      </c>
      <c r="F9" s="32"/>
      <c r="G9" s="32"/>
      <c r="H9" s="32"/>
      <c r="I9" s="33"/>
      <c r="J9" s="34"/>
      <c r="P9" s="449"/>
    </row>
    <row r="10" spans="1:16">
      <c r="C10" s="458" t="s">
        <v>226</v>
      </c>
      <c r="D10" s="335">
        <v>70967.7</v>
      </c>
      <c r="E10" s="449" t="s">
        <v>51</v>
      </c>
      <c r="G10" s="450"/>
      <c r="H10" s="450"/>
      <c r="I10" s="36">
        <v>2025</v>
      </c>
      <c r="J10" s="34"/>
      <c r="K10" s="453" t="s">
        <v>52</v>
      </c>
      <c r="O10" s="449"/>
      <c r="P10" s="449"/>
    </row>
    <row r="11" spans="1:16">
      <c r="C11" s="459" t="s">
        <v>53</v>
      </c>
      <c r="D11" s="38">
        <v>2022</v>
      </c>
      <c r="E11" s="459" t="s">
        <v>54</v>
      </c>
      <c r="F11" s="450"/>
      <c r="I11" s="460">
        <v>0</v>
      </c>
      <c r="J11" s="461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49"/>
      <c r="P11" s="449"/>
    </row>
    <row r="12" spans="1:16">
      <c r="C12" s="459" t="s">
        <v>55</v>
      </c>
      <c r="D12" s="335">
        <v>6</v>
      </c>
      <c r="E12" s="459" t="s">
        <v>56</v>
      </c>
      <c r="F12" s="450"/>
      <c r="I12" s="462">
        <v>0.10781124580725182</v>
      </c>
      <c r="J12" s="451"/>
      <c r="K12" t="s">
        <v>57</v>
      </c>
      <c r="O12" s="449"/>
      <c r="P12" s="449"/>
    </row>
    <row r="13" spans="1:16">
      <c r="C13" s="459" t="s">
        <v>58</v>
      </c>
      <c r="D13" s="460">
        <v>42</v>
      </c>
      <c r="E13" s="459" t="s">
        <v>59</v>
      </c>
      <c r="F13" s="450"/>
      <c r="I13" s="462">
        <v>0.10781124580725182</v>
      </c>
      <c r="J13" s="451"/>
      <c r="K13" s="453" t="s">
        <v>60</v>
      </c>
      <c r="L13" s="451"/>
      <c r="M13" s="451"/>
      <c r="N13" s="451"/>
      <c r="O13" s="449"/>
      <c r="P13" s="449"/>
    </row>
    <row r="14" spans="1:16" ht="13.5" thickBot="1">
      <c r="C14" s="459" t="s">
        <v>61</v>
      </c>
      <c r="D14" s="38" t="s">
        <v>62</v>
      </c>
      <c r="E14" s="449" t="s">
        <v>63</v>
      </c>
      <c r="F14" s="450"/>
      <c r="I14" s="463">
        <f>IF(D10=0,0,D10/D13)</f>
        <v>1689.7071428571428</v>
      </c>
      <c r="J14" s="453"/>
      <c r="K14" s="453"/>
      <c r="L14" s="453"/>
      <c r="M14" s="453"/>
      <c r="N14" s="453"/>
      <c r="O14" s="449"/>
      <c r="P14" s="449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449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449"/>
    </row>
    <row r="17" spans="2:16">
      <c r="B17" s="7"/>
      <c r="C17" s="464">
        <f>IF(D11= "","-",D11)</f>
        <v>2022</v>
      </c>
      <c r="D17" s="439">
        <v>0</v>
      </c>
      <c r="E17" s="440">
        <v>0</v>
      </c>
      <c r="F17" s="441">
        <v>56102</v>
      </c>
      <c r="G17" s="440">
        <v>3024.2132561392209</v>
      </c>
      <c r="H17" s="442">
        <v>3024.2132561392209</v>
      </c>
      <c r="I17" s="468">
        <f>H17-G17</f>
        <v>0</v>
      </c>
      <c r="J17" s="468"/>
      <c r="K17" s="117">
        <f>+G17</f>
        <v>3024.2132561392209</v>
      </c>
      <c r="L17" s="469">
        <f t="shared" ref="L17:L72" si="0">IF(K17&lt;&gt;0,+G17-K17,0)</f>
        <v>0</v>
      </c>
      <c r="M17" s="117">
        <f>+H17</f>
        <v>3024.2132561392209</v>
      </c>
      <c r="N17" s="469">
        <f t="shared" ref="N17:N72" si="1">IF(M17&lt;&gt;0,+H17-M17,0)</f>
        <v>0</v>
      </c>
      <c r="O17" s="446">
        <f t="shared" ref="O17:O72" si="2">+N17-L17</f>
        <v>0</v>
      </c>
      <c r="P17" s="449"/>
    </row>
    <row r="18" spans="2:16">
      <c r="B18" s="7" t="str">
        <f>IF(D18=F17,"","IU")</f>
        <v>IU</v>
      </c>
      <c r="C18" s="464">
        <f>IF(D11="","-",+C17+1)</f>
        <v>2023</v>
      </c>
      <c r="D18" s="348">
        <v>70968.24417723043</v>
      </c>
      <c r="E18" s="352">
        <v>1819.6985686469341</v>
      </c>
      <c r="F18" s="348">
        <v>69148.545608583503</v>
      </c>
      <c r="G18" s="352">
        <v>10181.795067763751</v>
      </c>
      <c r="H18" s="353">
        <v>10181.795067763751</v>
      </c>
      <c r="I18" s="468">
        <f>H18-G18</f>
        <v>0</v>
      </c>
      <c r="J18" s="468"/>
      <c r="K18" s="350">
        <f>+G18</f>
        <v>10181.795067763751</v>
      </c>
      <c r="L18" s="446">
        <f t="shared" ref="L18" si="3">IF(K18&lt;&gt;0,+G18-K18,0)</f>
        <v>0</v>
      </c>
      <c r="M18" s="350">
        <f>+H18</f>
        <v>10181.795067763751</v>
      </c>
      <c r="N18" s="446">
        <f t="shared" si="1"/>
        <v>0</v>
      </c>
      <c r="O18" s="446">
        <f t="shared" si="2"/>
        <v>0</v>
      </c>
      <c r="P18" s="449"/>
    </row>
    <row r="19" spans="2:16">
      <c r="B19" s="7" t="str">
        <f>IF(D19=F18,"","IU")</f>
        <v>IU</v>
      </c>
      <c r="C19" s="464">
        <f>IF(D11="","-",+C18+1)</f>
        <v>2024</v>
      </c>
      <c r="D19" s="348">
        <v>69148.00143135307</v>
      </c>
      <c r="E19" s="352">
        <v>1867.5710526315788</v>
      </c>
      <c r="F19" s="348">
        <v>67280.430378721489</v>
      </c>
      <c r="G19" s="352">
        <v>9626.268765265102</v>
      </c>
      <c r="H19" s="353">
        <v>9626.268765265102</v>
      </c>
      <c r="I19" s="468">
        <f t="shared" ref="I19:I71" si="4">H19-G19</f>
        <v>0</v>
      </c>
      <c r="J19" s="468"/>
      <c r="K19" s="350">
        <f>+G19</f>
        <v>9626.268765265102</v>
      </c>
      <c r="L19" s="446">
        <f t="shared" ref="L19" si="5">IF(K19&lt;&gt;0,+G19-K19,0)</f>
        <v>0</v>
      </c>
      <c r="M19" s="350">
        <f>+H19</f>
        <v>9626.268765265102</v>
      </c>
      <c r="N19" s="446">
        <f t="shared" ref="N19" si="6">IF(M19&lt;&gt;0,+H19-M19,0)</f>
        <v>0</v>
      </c>
      <c r="O19" s="446">
        <f t="shared" ref="O19" si="7">+N19-L19</f>
        <v>0</v>
      </c>
      <c r="P19" s="449"/>
    </row>
    <row r="20" spans="2:16">
      <c r="B20" s="7" t="str">
        <f t="shared" ref="B20:B72" si="8">IF(D20=F19,"","IU")</f>
        <v/>
      </c>
      <c r="C20" s="464">
        <f>IF(D11="","-",+C19+1)</f>
        <v>2025</v>
      </c>
      <c r="D20" s="348">
        <v>67280.430378721489</v>
      </c>
      <c r="E20" s="352">
        <v>1867.5710526315788</v>
      </c>
      <c r="F20" s="348">
        <v>65412.859326089907</v>
      </c>
      <c r="G20" s="352">
        <v>9404.9807754816138</v>
      </c>
      <c r="H20" s="353">
        <v>9404.9807754816138</v>
      </c>
      <c r="I20" s="468">
        <f t="shared" si="4"/>
        <v>0</v>
      </c>
      <c r="J20" s="468"/>
      <c r="K20" s="350">
        <f>+G20</f>
        <v>9404.9807754816138</v>
      </c>
      <c r="L20" s="446">
        <f t="shared" ref="L20" si="9">IF(K20&lt;&gt;0,+G20-K20,0)</f>
        <v>0</v>
      </c>
      <c r="M20" s="350">
        <f>+H20</f>
        <v>9404.9807754816138</v>
      </c>
      <c r="N20" s="446">
        <f t="shared" ref="N20" si="10">IF(M20&lt;&gt;0,+H20-M20,0)</f>
        <v>0</v>
      </c>
      <c r="O20" s="446">
        <f t="shared" ref="O20" si="11">+N20-L20</f>
        <v>0</v>
      </c>
      <c r="P20" s="449"/>
    </row>
    <row r="21" spans="2:16">
      <c r="B21" s="7" t="str">
        <f t="shared" si="8"/>
        <v/>
      </c>
      <c r="C21" s="464">
        <f>IF(D11="","-",+C20+1)</f>
        <v>2026</v>
      </c>
      <c r="D21" s="466">
        <f>IF(F20+SUM(E$17:E20)=D$10,F20,D$10-SUM(E$17:E20))</f>
        <v>65412.859326089907</v>
      </c>
      <c r="E21" s="354">
        <f t="shared" ref="E21:E71" si="12">IF(+I$14&lt;F20,I$14,D21)</f>
        <v>1689.7071428571428</v>
      </c>
      <c r="F21" s="466">
        <f t="shared" ref="F21:F71" si="13">+D21-E21</f>
        <v>63723.152183232763</v>
      </c>
      <c r="G21" s="493">
        <f t="shared" ref="G21:G71" si="14">(D21+F21)/2*I$12+E21</f>
        <v>8650.8642825569859</v>
      </c>
      <c r="H21" s="463">
        <f t="shared" ref="H21:H71" si="15">+(D21+F21)/2*I$13+E21</f>
        <v>8650.8642825569859</v>
      </c>
      <c r="I21" s="468">
        <f t="shared" si="4"/>
        <v>0</v>
      </c>
      <c r="J21" s="468"/>
      <c r="K21" s="115"/>
      <c r="L21" s="446">
        <f t="shared" si="0"/>
        <v>0</v>
      </c>
      <c r="M21" s="115"/>
      <c r="N21" s="446">
        <f t="shared" si="1"/>
        <v>0</v>
      </c>
      <c r="O21" s="446">
        <f t="shared" si="2"/>
        <v>0</v>
      </c>
      <c r="P21" s="449"/>
    </row>
    <row r="22" spans="2:16">
      <c r="B22" s="7" t="str">
        <f t="shared" si="8"/>
        <v/>
      </c>
      <c r="C22" s="464">
        <f>IF(D11="","-",+C21+1)</f>
        <v>2027</v>
      </c>
      <c r="D22" s="466">
        <f>IF(F21+SUM(E$17:E21)=D$10,F21,D$10-SUM(E$17:E21))</f>
        <v>63723.152183232763</v>
      </c>
      <c r="E22" s="354">
        <f t="shared" si="12"/>
        <v>1689.7071428571428</v>
      </c>
      <c r="F22" s="466">
        <f t="shared" si="13"/>
        <v>62033.44504037562</v>
      </c>
      <c r="G22" s="493">
        <f t="shared" si="14"/>
        <v>8468.6948504361444</v>
      </c>
      <c r="H22" s="463">
        <f t="shared" si="15"/>
        <v>8468.6948504361444</v>
      </c>
      <c r="I22" s="468">
        <f t="shared" si="4"/>
        <v>0</v>
      </c>
      <c r="J22" s="468"/>
      <c r="K22" s="115"/>
      <c r="L22" s="446">
        <f t="shared" si="0"/>
        <v>0</v>
      </c>
      <c r="M22" s="115"/>
      <c r="N22" s="446">
        <f t="shared" si="1"/>
        <v>0</v>
      </c>
      <c r="O22" s="446">
        <f t="shared" si="2"/>
        <v>0</v>
      </c>
      <c r="P22" s="449"/>
    </row>
    <row r="23" spans="2:16">
      <c r="B23" s="7" t="str">
        <f t="shared" si="8"/>
        <v/>
      </c>
      <c r="C23" s="464">
        <f>IF(D11="","-",+C22+1)</f>
        <v>2028</v>
      </c>
      <c r="D23" s="466">
        <f>IF(F22+SUM(E$17:E22)=D$10,F22,D$10-SUM(E$17:E22))</f>
        <v>62033.44504037562</v>
      </c>
      <c r="E23" s="354">
        <f t="shared" si="12"/>
        <v>1689.7071428571428</v>
      </c>
      <c r="F23" s="466">
        <f t="shared" si="13"/>
        <v>60343.737897518477</v>
      </c>
      <c r="G23" s="493">
        <f t="shared" si="14"/>
        <v>8286.5254183153047</v>
      </c>
      <c r="H23" s="463">
        <f t="shared" si="15"/>
        <v>8286.5254183153047</v>
      </c>
      <c r="I23" s="468">
        <f t="shared" si="4"/>
        <v>0</v>
      </c>
      <c r="J23" s="468"/>
      <c r="K23" s="115"/>
      <c r="L23" s="446">
        <f t="shared" si="0"/>
        <v>0</v>
      </c>
      <c r="M23" s="115"/>
      <c r="N23" s="446">
        <f t="shared" si="1"/>
        <v>0</v>
      </c>
      <c r="O23" s="446">
        <f t="shared" si="2"/>
        <v>0</v>
      </c>
      <c r="P23" s="449"/>
    </row>
    <row r="24" spans="2:16">
      <c r="B24" s="7" t="str">
        <f t="shared" si="8"/>
        <v/>
      </c>
      <c r="C24" s="464">
        <f>IF(D11="","-",+C23+1)</f>
        <v>2029</v>
      </c>
      <c r="D24" s="466">
        <f>IF(F23+SUM(E$17:E23)=D$10,F23,D$10-SUM(E$17:E23))</f>
        <v>60343.737897518477</v>
      </c>
      <c r="E24" s="354">
        <f t="shared" si="12"/>
        <v>1689.7071428571428</v>
      </c>
      <c r="F24" s="466">
        <f t="shared" si="13"/>
        <v>58654.030754661333</v>
      </c>
      <c r="G24" s="493">
        <f t="shared" si="14"/>
        <v>8104.3559861944632</v>
      </c>
      <c r="H24" s="463">
        <f t="shared" si="15"/>
        <v>8104.3559861944632</v>
      </c>
      <c r="I24" s="468">
        <f t="shared" si="4"/>
        <v>0</v>
      </c>
      <c r="J24" s="468"/>
      <c r="K24" s="115"/>
      <c r="L24" s="446">
        <f t="shared" si="0"/>
        <v>0</v>
      </c>
      <c r="M24" s="115"/>
      <c r="N24" s="446">
        <f t="shared" si="1"/>
        <v>0</v>
      </c>
      <c r="O24" s="446">
        <f t="shared" si="2"/>
        <v>0</v>
      </c>
      <c r="P24" s="449"/>
    </row>
    <row r="25" spans="2:16">
      <c r="B25" s="7" t="str">
        <f t="shared" si="8"/>
        <v/>
      </c>
      <c r="C25" s="464">
        <f>IF(D11="","-",+C24+1)</f>
        <v>2030</v>
      </c>
      <c r="D25" s="466">
        <f>IF(F24+SUM(E$17:E24)=D$10,F24,D$10-SUM(E$17:E24))</f>
        <v>58654.030754661333</v>
      </c>
      <c r="E25" s="354">
        <f t="shared" si="12"/>
        <v>1689.7071428571428</v>
      </c>
      <c r="F25" s="466">
        <f t="shared" si="13"/>
        <v>56964.32361180419</v>
      </c>
      <c r="G25" s="493">
        <f t="shared" si="14"/>
        <v>7922.1865540736235</v>
      </c>
      <c r="H25" s="463">
        <f t="shared" si="15"/>
        <v>7922.1865540736235</v>
      </c>
      <c r="I25" s="468">
        <f t="shared" si="4"/>
        <v>0</v>
      </c>
      <c r="J25" s="468"/>
      <c r="K25" s="115"/>
      <c r="L25" s="446">
        <f t="shared" si="0"/>
        <v>0</v>
      </c>
      <c r="M25" s="115"/>
      <c r="N25" s="446">
        <f t="shared" si="1"/>
        <v>0</v>
      </c>
      <c r="O25" s="446">
        <f t="shared" si="2"/>
        <v>0</v>
      </c>
      <c r="P25" s="449"/>
    </row>
    <row r="26" spans="2:16">
      <c r="B26" s="7" t="str">
        <f t="shared" si="8"/>
        <v/>
      </c>
      <c r="C26" s="464">
        <f>IF(D11="","-",+C25+1)</f>
        <v>2031</v>
      </c>
      <c r="D26" s="466">
        <f>IF(F25+SUM(E$17:E25)=D$10,F25,D$10-SUM(E$17:E25))</f>
        <v>56964.32361180419</v>
      </c>
      <c r="E26" s="354">
        <f t="shared" si="12"/>
        <v>1689.7071428571428</v>
      </c>
      <c r="F26" s="466">
        <f t="shared" si="13"/>
        <v>55274.616468947046</v>
      </c>
      <c r="G26" s="493">
        <f t="shared" si="14"/>
        <v>7740.017121952782</v>
      </c>
      <c r="H26" s="463">
        <f t="shared" si="15"/>
        <v>7740.017121952782</v>
      </c>
      <c r="I26" s="468">
        <f t="shared" si="4"/>
        <v>0</v>
      </c>
      <c r="J26" s="468"/>
      <c r="K26" s="115"/>
      <c r="L26" s="446">
        <f t="shared" si="0"/>
        <v>0</v>
      </c>
      <c r="M26" s="115"/>
      <c r="N26" s="446">
        <f t="shared" si="1"/>
        <v>0</v>
      </c>
      <c r="O26" s="446">
        <f t="shared" si="2"/>
        <v>0</v>
      </c>
      <c r="P26" s="449"/>
    </row>
    <row r="27" spans="2:16">
      <c r="B27" s="7" t="str">
        <f t="shared" si="8"/>
        <v/>
      </c>
      <c r="C27" s="464">
        <f>IF(D11="","-",+C26+1)</f>
        <v>2032</v>
      </c>
      <c r="D27" s="466">
        <f>IF(F26+SUM(E$17:E26)=D$10,F26,D$10-SUM(E$17:E26))</f>
        <v>55274.616468947046</v>
      </c>
      <c r="E27" s="354">
        <f t="shared" si="12"/>
        <v>1689.7071428571428</v>
      </c>
      <c r="F27" s="466">
        <f t="shared" si="13"/>
        <v>53584.909326089903</v>
      </c>
      <c r="G27" s="493">
        <f t="shared" si="14"/>
        <v>7557.8476898319423</v>
      </c>
      <c r="H27" s="463">
        <f t="shared" si="15"/>
        <v>7557.8476898319423</v>
      </c>
      <c r="I27" s="468">
        <f t="shared" si="4"/>
        <v>0</v>
      </c>
      <c r="J27" s="468"/>
      <c r="K27" s="115"/>
      <c r="L27" s="446">
        <f t="shared" si="0"/>
        <v>0</v>
      </c>
      <c r="M27" s="115"/>
      <c r="N27" s="446">
        <f t="shared" si="1"/>
        <v>0</v>
      </c>
      <c r="O27" s="446">
        <f t="shared" si="2"/>
        <v>0</v>
      </c>
      <c r="P27" s="449"/>
    </row>
    <row r="28" spans="2:16">
      <c r="B28" s="7" t="str">
        <f t="shared" si="8"/>
        <v/>
      </c>
      <c r="C28" s="464">
        <f>IF(D11="","-",+C27+1)</f>
        <v>2033</v>
      </c>
      <c r="D28" s="466">
        <f>IF(F27+SUM(E$17:E27)=D$10,F27,D$10-SUM(E$17:E27))</f>
        <v>53584.909326089903</v>
      </c>
      <c r="E28" s="354">
        <f t="shared" si="12"/>
        <v>1689.7071428571428</v>
      </c>
      <c r="F28" s="466">
        <f t="shared" si="13"/>
        <v>51895.202183232759</v>
      </c>
      <c r="G28" s="493">
        <f t="shared" si="14"/>
        <v>7375.6782577111007</v>
      </c>
      <c r="H28" s="463">
        <f t="shared" si="15"/>
        <v>7375.6782577111007</v>
      </c>
      <c r="I28" s="468">
        <f t="shared" si="4"/>
        <v>0</v>
      </c>
      <c r="J28" s="468"/>
      <c r="K28" s="115"/>
      <c r="L28" s="446">
        <f t="shared" si="0"/>
        <v>0</v>
      </c>
      <c r="M28" s="115"/>
      <c r="N28" s="446">
        <f t="shared" si="1"/>
        <v>0</v>
      </c>
      <c r="O28" s="446">
        <f t="shared" si="2"/>
        <v>0</v>
      </c>
      <c r="P28" s="449"/>
    </row>
    <row r="29" spans="2:16">
      <c r="B29" s="7" t="str">
        <f t="shared" si="8"/>
        <v/>
      </c>
      <c r="C29" s="464">
        <f>IF(D11="","-",+C28+1)</f>
        <v>2034</v>
      </c>
      <c r="D29" s="466">
        <f>IF(F28+SUM(E$17:E28)=D$10,F28,D$10-SUM(E$17:E28))</f>
        <v>51895.202183232759</v>
      </c>
      <c r="E29" s="354">
        <f t="shared" si="12"/>
        <v>1689.7071428571428</v>
      </c>
      <c r="F29" s="466">
        <f t="shared" si="13"/>
        <v>50205.495040375616</v>
      </c>
      <c r="G29" s="493">
        <f t="shared" si="14"/>
        <v>7193.508825590261</v>
      </c>
      <c r="H29" s="463">
        <f t="shared" si="15"/>
        <v>7193.508825590261</v>
      </c>
      <c r="I29" s="468">
        <f t="shared" si="4"/>
        <v>0</v>
      </c>
      <c r="J29" s="468"/>
      <c r="K29" s="115"/>
      <c r="L29" s="446">
        <f t="shared" si="0"/>
        <v>0</v>
      </c>
      <c r="M29" s="115"/>
      <c r="N29" s="446">
        <f t="shared" si="1"/>
        <v>0</v>
      </c>
      <c r="O29" s="446">
        <f t="shared" si="2"/>
        <v>0</v>
      </c>
      <c r="P29" s="449"/>
    </row>
    <row r="30" spans="2:16">
      <c r="B30" s="7" t="str">
        <f t="shared" si="8"/>
        <v/>
      </c>
      <c r="C30" s="464">
        <f>IF(D11="","-",+C29+1)</f>
        <v>2035</v>
      </c>
      <c r="D30" s="466">
        <f>IF(F29+SUM(E$17:E29)=D$10,F29,D$10-SUM(E$17:E29))</f>
        <v>50205.495040375616</v>
      </c>
      <c r="E30" s="354">
        <f t="shared" si="12"/>
        <v>1689.7071428571428</v>
      </c>
      <c r="F30" s="466">
        <f t="shared" si="13"/>
        <v>48515.787897518472</v>
      </c>
      <c r="G30" s="493">
        <f t="shared" si="14"/>
        <v>7011.3393934694195</v>
      </c>
      <c r="H30" s="463">
        <f t="shared" si="15"/>
        <v>7011.3393934694195</v>
      </c>
      <c r="I30" s="468">
        <f t="shared" si="4"/>
        <v>0</v>
      </c>
      <c r="J30" s="468"/>
      <c r="K30" s="115"/>
      <c r="L30" s="446">
        <f t="shared" si="0"/>
        <v>0</v>
      </c>
      <c r="M30" s="115"/>
      <c r="N30" s="446">
        <f t="shared" si="1"/>
        <v>0</v>
      </c>
      <c r="O30" s="446">
        <f t="shared" si="2"/>
        <v>0</v>
      </c>
      <c r="P30" s="449"/>
    </row>
    <row r="31" spans="2:16">
      <c r="B31" s="7" t="str">
        <f t="shared" si="8"/>
        <v/>
      </c>
      <c r="C31" s="464">
        <f>IF(D11="","-",+C30+1)</f>
        <v>2036</v>
      </c>
      <c r="D31" s="466">
        <f>IF(F30+SUM(E$17:E30)=D$10,F30,D$10-SUM(E$17:E30))</f>
        <v>48515.787897518472</v>
      </c>
      <c r="E31" s="354">
        <f t="shared" si="12"/>
        <v>1689.7071428571428</v>
      </c>
      <c r="F31" s="466">
        <f t="shared" si="13"/>
        <v>46826.080754661329</v>
      </c>
      <c r="G31" s="493">
        <f t="shared" si="14"/>
        <v>6829.1699613485798</v>
      </c>
      <c r="H31" s="463">
        <f t="shared" si="15"/>
        <v>6829.1699613485798</v>
      </c>
      <c r="I31" s="468">
        <f t="shared" si="4"/>
        <v>0</v>
      </c>
      <c r="J31" s="468"/>
      <c r="K31" s="115"/>
      <c r="L31" s="446">
        <f t="shared" si="0"/>
        <v>0</v>
      </c>
      <c r="M31" s="115"/>
      <c r="N31" s="446">
        <f t="shared" si="1"/>
        <v>0</v>
      </c>
      <c r="O31" s="446">
        <f t="shared" si="2"/>
        <v>0</v>
      </c>
      <c r="P31" s="449"/>
    </row>
    <row r="32" spans="2:16">
      <c r="B32" s="7" t="str">
        <f t="shared" si="8"/>
        <v/>
      </c>
      <c r="C32" s="464">
        <f>IF(D11="","-",+C31+1)</f>
        <v>2037</v>
      </c>
      <c r="D32" s="466">
        <f>IF(F31+SUM(E$17:E31)=D$10,F31,D$10-SUM(E$17:E31))</f>
        <v>46826.080754661329</v>
      </c>
      <c r="E32" s="354">
        <f t="shared" si="12"/>
        <v>1689.7071428571428</v>
      </c>
      <c r="F32" s="466">
        <f t="shared" si="13"/>
        <v>45136.373611804185</v>
      </c>
      <c r="G32" s="493">
        <f t="shared" si="14"/>
        <v>6647.0005292277383</v>
      </c>
      <c r="H32" s="463">
        <f t="shared" si="15"/>
        <v>6647.0005292277383</v>
      </c>
      <c r="I32" s="468">
        <f t="shared" si="4"/>
        <v>0</v>
      </c>
      <c r="J32" s="468"/>
      <c r="K32" s="115"/>
      <c r="L32" s="446">
        <f t="shared" si="0"/>
        <v>0</v>
      </c>
      <c r="M32" s="115"/>
      <c r="N32" s="446">
        <f t="shared" si="1"/>
        <v>0</v>
      </c>
      <c r="O32" s="446">
        <f t="shared" si="2"/>
        <v>0</v>
      </c>
      <c r="P32" s="449"/>
    </row>
    <row r="33" spans="2:16">
      <c r="B33" s="7" t="str">
        <f t="shared" si="8"/>
        <v/>
      </c>
      <c r="C33" s="464">
        <f>IF(D11="","-",+C32+1)</f>
        <v>2038</v>
      </c>
      <c r="D33" s="466">
        <f>IF(F32+SUM(E$17:E32)=D$10,F32,D$10-SUM(E$17:E32))</f>
        <v>45136.373611804185</v>
      </c>
      <c r="E33" s="354">
        <f t="shared" si="12"/>
        <v>1689.7071428571428</v>
      </c>
      <c r="F33" s="466">
        <f t="shared" si="13"/>
        <v>43446.666468947042</v>
      </c>
      <c r="G33" s="493">
        <f t="shared" si="14"/>
        <v>6464.8310971068986</v>
      </c>
      <c r="H33" s="463">
        <f t="shared" si="15"/>
        <v>6464.8310971068986</v>
      </c>
      <c r="I33" s="468">
        <f t="shared" si="4"/>
        <v>0</v>
      </c>
      <c r="J33" s="468"/>
      <c r="K33" s="115"/>
      <c r="L33" s="446">
        <f t="shared" si="0"/>
        <v>0</v>
      </c>
      <c r="M33" s="115"/>
      <c r="N33" s="446">
        <f t="shared" si="1"/>
        <v>0</v>
      </c>
      <c r="O33" s="446">
        <f t="shared" si="2"/>
        <v>0</v>
      </c>
      <c r="P33" s="449"/>
    </row>
    <row r="34" spans="2:16">
      <c r="B34" s="7" t="str">
        <f t="shared" si="8"/>
        <v/>
      </c>
      <c r="C34" s="464">
        <f>IF(D11="","-",+C33+1)</f>
        <v>2039</v>
      </c>
      <c r="D34" s="466">
        <f>IF(F33+SUM(E$17:E33)=D$10,F33,D$10-SUM(E$17:E33))</f>
        <v>43446.666468947042</v>
      </c>
      <c r="E34" s="354">
        <f t="shared" si="12"/>
        <v>1689.7071428571428</v>
      </c>
      <c r="F34" s="466">
        <f t="shared" si="13"/>
        <v>41756.959326089898</v>
      </c>
      <c r="G34" s="493">
        <f t="shared" si="14"/>
        <v>6282.6616649860571</v>
      </c>
      <c r="H34" s="463">
        <f t="shared" si="15"/>
        <v>6282.6616649860571</v>
      </c>
      <c r="I34" s="468">
        <f t="shared" si="4"/>
        <v>0</v>
      </c>
      <c r="J34" s="468"/>
      <c r="K34" s="115"/>
      <c r="L34" s="446">
        <f t="shared" si="0"/>
        <v>0</v>
      </c>
      <c r="M34" s="115"/>
      <c r="N34" s="446">
        <f t="shared" si="1"/>
        <v>0</v>
      </c>
      <c r="O34" s="446">
        <f t="shared" si="2"/>
        <v>0</v>
      </c>
      <c r="P34" s="449"/>
    </row>
    <row r="35" spans="2:16">
      <c r="B35" s="7" t="str">
        <f t="shared" si="8"/>
        <v/>
      </c>
      <c r="C35" s="464">
        <f>IF(D11="","-",+C34+1)</f>
        <v>2040</v>
      </c>
      <c r="D35" s="466">
        <f>IF(F34+SUM(E$17:E34)=D$10,F34,D$10-SUM(E$17:E34))</f>
        <v>41756.959326089898</v>
      </c>
      <c r="E35" s="354">
        <f t="shared" si="12"/>
        <v>1689.7071428571428</v>
      </c>
      <c r="F35" s="466">
        <f t="shared" si="13"/>
        <v>40067.252183232755</v>
      </c>
      <c r="G35" s="493">
        <f t="shared" si="14"/>
        <v>6100.4922328652174</v>
      </c>
      <c r="H35" s="463">
        <f t="shared" si="15"/>
        <v>6100.4922328652174</v>
      </c>
      <c r="I35" s="468">
        <f t="shared" si="4"/>
        <v>0</v>
      </c>
      <c r="J35" s="468"/>
      <c r="K35" s="115"/>
      <c r="L35" s="446">
        <f t="shared" si="0"/>
        <v>0</v>
      </c>
      <c r="M35" s="115"/>
      <c r="N35" s="446">
        <f t="shared" si="1"/>
        <v>0</v>
      </c>
      <c r="O35" s="446">
        <f t="shared" si="2"/>
        <v>0</v>
      </c>
      <c r="P35" s="449"/>
    </row>
    <row r="36" spans="2:16">
      <c r="B36" s="7" t="str">
        <f t="shared" si="8"/>
        <v/>
      </c>
      <c r="C36" s="464">
        <f>IF(D11="","-",+C35+1)</f>
        <v>2041</v>
      </c>
      <c r="D36" s="466">
        <f>IF(F35+SUM(E$17:E35)=D$10,F35,D$10-SUM(E$17:E35))</f>
        <v>40067.252183232755</v>
      </c>
      <c r="E36" s="354">
        <f t="shared" si="12"/>
        <v>1689.7071428571428</v>
      </c>
      <c r="F36" s="466">
        <f t="shared" si="13"/>
        <v>38377.545040375611</v>
      </c>
      <c r="G36" s="493">
        <f t="shared" si="14"/>
        <v>5918.3228007443759</v>
      </c>
      <c r="H36" s="463">
        <f t="shared" si="15"/>
        <v>5918.3228007443759</v>
      </c>
      <c r="I36" s="468">
        <f t="shared" si="4"/>
        <v>0</v>
      </c>
      <c r="J36" s="468"/>
      <c r="K36" s="115"/>
      <c r="L36" s="446">
        <f t="shared" si="0"/>
        <v>0</v>
      </c>
      <c r="M36" s="115"/>
      <c r="N36" s="446">
        <f t="shared" si="1"/>
        <v>0</v>
      </c>
      <c r="O36" s="446">
        <f t="shared" si="2"/>
        <v>0</v>
      </c>
      <c r="P36" s="449"/>
    </row>
    <row r="37" spans="2:16">
      <c r="B37" s="7" t="str">
        <f t="shared" si="8"/>
        <v/>
      </c>
      <c r="C37" s="464">
        <f>IF(D11="","-",+C36+1)</f>
        <v>2042</v>
      </c>
      <c r="D37" s="466">
        <f>IF(F36+SUM(E$17:E36)=D$10,F36,D$10-SUM(E$17:E36))</f>
        <v>38377.545040375611</v>
      </c>
      <c r="E37" s="354">
        <f t="shared" si="12"/>
        <v>1689.7071428571428</v>
      </c>
      <c r="F37" s="466">
        <f t="shared" si="13"/>
        <v>36687.837897518468</v>
      </c>
      <c r="G37" s="493">
        <f t="shared" si="14"/>
        <v>5736.1533686235362</v>
      </c>
      <c r="H37" s="463">
        <f t="shared" si="15"/>
        <v>5736.1533686235362</v>
      </c>
      <c r="I37" s="468">
        <f t="shared" si="4"/>
        <v>0</v>
      </c>
      <c r="J37" s="468"/>
      <c r="K37" s="115"/>
      <c r="L37" s="446">
        <f t="shared" si="0"/>
        <v>0</v>
      </c>
      <c r="M37" s="115"/>
      <c r="N37" s="446">
        <f t="shared" si="1"/>
        <v>0</v>
      </c>
      <c r="O37" s="446">
        <f t="shared" si="2"/>
        <v>0</v>
      </c>
      <c r="P37" s="449"/>
    </row>
    <row r="38" spans="2:16">
      <c r="B38" s="7" t="str">
        <f t="shared" si="8"/>
        <v/>
      </c>
      <c r="C38" s="464">
        <f>IF(D11="","-",+C37+1)</f>
        <v>2043</v>
      </c>
      <c r="D38" s="466">
        <f>IF(F37+SUM(E$17:E37)=D$10,F37,D$10-SUM(E$17:E37))</f>
        <v>36687.837897518468</v>
      </c>
      <c r="E38" s="354">
        <f t="shared" si="12"/>
        <v>1689.7071428571428</v>
      </c>
      <c r="F38" s="466">
        <f t="shared" si="13"/>
        <v>34998.130754661324</v>
      </c>
      <c r="G38" s="493">
        <f t="shared" si="14"/>
        <v>5553.9839365026946</v>
      </c>
      <c r="H38" s="463">
        <f t="shared" si="15"/>
        <v>5553.9839365026946</v>
      </c>
      <c r="I38" s="468">
        <f t="shared" si="4"/>
        <v>0</v>
      </c>
      <c r="J38" s="468"/>
      <c r="K38" s="115"/>
      <c r="L38" s="446">
        <f t="shared" si="0"/>
        <v>0</v>
      </c>
      <c r="M38" s="115"/>
      <c r="N38" s="446">
        <f t="shared" si="1"/>
        <v>0</v>
      </c>
      <c r="O38" s="446">
        <f t="shared" si="2"/>
        <v>0</v>
      </c>
      <c r="P38" s="449"/>
    </row>
    <row r="39" spans="2:16">
      <c r="B39" s="7" t="str">
        <f t="shared" si="8"/>
        <v/>
      </c>
      <c r="C39" s="464">
        <f>IF(D11="","-",+C38+1)</f>
        <v>2044</v>
      </c>
      <c r="D39" s="466">
        <f>IF(F38+SUM(E$17:E38)=D$10,F38,D$10-SUM(E$17:E38))</f>
        <v>34998.130754661324</v>
      </c>
      <c r="E39" s="354">
        <f t="shared" si="12"/>
        <v>1689.7071428571428</v>
      </c>
      <c r="F39" s="466">
        <f t="shared" si="13"/>
        <v>33308.423611804181</v>
      </c>
      <c r="G39" s="493">
        <f t="shared" si="14"/>
        <v>5371.8145043818549</v>
      </c>
      <c r="H39" s="463">
        <f t="shared" si="15"/>
        <v>5371.8145043818549</v>
      </c>
      <c r="I39" s="468">
        <f t="shared" si="4"/>
        <v>0</v>
      </c>
      <c r="J39" s="468"/>
      <c r="K39" s="115"/>
      <c r="L39" s="446">
        <f t="shared" si="0"/>
        <v>0</v>
      </c>
      <c r="M39" s="115"/>
      <c r="N39" s="446">
        <f t="shared" si="1"/>
        <v>0</v>
      </c>
      <c r="O39" s="446">
        <f t="shared" si="2"/>
        <v>0</v>
      </c>
      <c r="P39" s="449"/>
    </row>
    <row r="40" spans="2:16">
      <c r="B40" s="7" t="str">
        <f t="shared" si="8"/>
        <v/>
      </c>
      <c r="C40" s="464">
        <f>IF(D11="","-",+C39+1)</f>
        <v>2045</v>
      </c>
      <c r="D40" s="466">
        <f>IF(F39+SUM(E$17:E39)=D$10,F39,D$10-SUM(E$17:E39))</f>
        <v>33308.423611804181</v>
      </c>
      <c r="E40" s="354">
        <f t="shared" si="12"/>
        <v>1689.7071428571428</v>
      </c>
      <c r="F40" s="466">
        <f t="shared" si="13"/>
        <v>31618.716468947037</v>
      </c>
      <c r="G40" s="493">
        <f t="shared" si="14"/>
        <v>5189.6450722610134</v>
      </c>
      <c r="H40" s="463">
        <f t="shared" si="15"/>
        <v>5189.6450722610134</v>
      </c>
      <c r="I40" s="468">
        <f t="shared" si="4"/>
        <v>0</v>
      </c>
      <c r="J40" s="468"/>
      <c r="K40" s="115"/>
      <c r="L40" s="446">
        <f t="shared" si="0"/>
        <v>0</v>
      </c>
      <c r="M40" s="115"/>
      <c r="N40" s="446">
        <f t="shared" si="1"/>
        <v>0</v>
      </c>
      <c r="O40" s="446">
        <f t="shared" si="2"/>
        <v>0</v>
      </c>
      <c r="P40" s="449"/>
    </row>
    <row r="41" spans="2:16">
      <c r="B41" s="7" t="str">
        <f t="shared" si="8"/>
        <v/>
      </c>
      <c r="C41" s="464">
        <f>IF(D11="","-",+C40+1)</f>
        <v>2046</v>
      </c>
      <c r="D41" s="466">
        <f>IF(F40+SUM(E$17:E40)=D$10,F40,D$10-SUM(E$17:E40))</f>
        <v>31618.716468947037</v>
      </c>
      <c r="E41" s="354">
        <f t="shared" si="12"/>
        <v>1689.7071428571428</v>
      </c>
      <c r="F41" s="466">
        <f t="shared" si="13"/>
        <v>29929.009326089894</v>
      </c>
      <c r="G41" s="493">
        <f t="shared" si="14"/>
        <v>5007.4756401401728</v>
      </c>
      <c r="H41" s="463">
        <f t="shared" si="15"/>
        <v>5007.4756401401728</v>
      </c>
      <c r="I41" s="468">
        <f t="shared" si="4"/>
        <v>0</v>
      </c>
      <c r="J41" s="468"/>
      <c r="K41" s="115"/>
      <c r="L41" s="446">
        <f t="shared" si="0"/>
        <v>0</v>
      </c>
      <c r="M41" s="115"/>
      <c r="N41" s="446">
        <f t="shared" si="1"/>
        <v>0</v>
      </c>
      <c r="O41" s="446">
        <f t="shared" si="2"/>
        <v>0</v>
      </c>
      <c r="P41" s="449"/>
    </row>
    <row r="42" spans="2:16">
      <c r="B42" s="7" t="str">
        <f t="shared" si="8"/>
        <v/>
      </c>
      <c r="C42" s="464">
        <f>IF(D11="","-",+C41+1)</f>
        <v>2047</v>
      </c>
      <c r="D42" s="466">
        <f>IF(F41+SUM(E$17:E41)=D$10,F41,D$10-SUM(E$17:E41))</f>
        <v>29929.009326089894</v>
      </c>
      <c r="E42" s="354">
        <f t="shared" si="12"/>
        <v>1689.7071428571428</v>
      </c>
      <c r="F42" s="466">
        <f t="shared" si="13"/>
        <v>28239.30218323275</v>
      </c>
      <c r="G42" s="493">
        <f t="shared" si="14"/>
        <v>4825.3062080193322</v>
      </c>
      <c r="H42" s="463">
        <f t="shared" si="15"/>
        <v>4825.3062080193322</v>
      </c>
      <c r="I42" s="468">
        <f t="shared" si="4"/>
        <v>0</v>
      </c>
      <c r="J42" s="468"/>
      <c r="K42" s="115"/>
      <c r="L42" s="446">
        <f t="shared" si="0"/>
        <v>0</v>
      </c>
      <c r="M42" s="115"/>
      <c r="N42" s="446">
        <f t="shared" si="1"/>
        <v>0</v>
      </c>
      <c r="O42" s="446">
        <f t="shared" si="2"/>
        <v>0</v>
      </c>
      <c r="P42" s="449"/>
    </row>
    <row r="43" spans="2:16">
      <c r="B43" s="7" t="str">
        <f t="shared" si="8"/>
        <v/>
      </c>
      <c r="C43" s="464">
        <f>IF(D11="","-",+C42+1)</f>
        <v>2048</v>
      </c>
      <c r="D43" s="466">
        <f>IF(F42+SUM(E$17:E42)=D$10,F42,D$10-SUM(E$17:E42))</f>
        <v>28239.30218323275</v>
      </c>
      <c r="E43" s="354">
        <f t="shared" si="12"/>
        <v>1689.7071428571428</v>
      </c>
      <c r="F43" s="466">
        <f t="shared" si="13"/>
        <v>26549.595040375607</v>
      </c>
      <c r="G43" s="493">
        <f t="shared" si="14"/>
        <v>4643.1367758984916</v>
      </c>
      <c r="H43" s="463">
        <f t="shared" si="15"/>
        <v>4643.1367758984916</v>
      </c>
      <c r="I43" s="468">
        <f t="shared" si="4"/>
        <v>0</v>
      </c>
      <c r="J43" s="468"/>
      <c r="K43" s="115"/>
      <c r="L43" s="446">
        <f t="shared" si="0"/>
        <v>0</v>
      </c>
      <c r="M43" s="115"/>
      <c r="N43" s="446">
        <f t="shared" si="1"/>
        <v>0</v>
      </c>
      <c r="O43" s="446">
        <f t="shared" si="2"/>
        <v>0</v>
      </c>
      <c r="P43" s="449"/>
    </row>
    <row r="44" spans="2:16">
      <c r="B44" s="7" t="str">
        <f t="shared" si="8"/>
        <v/>
      </c>
      <c r="C44" s="464">
        <f>IF(D11="","-",+C43+1)</f>
        <v>2049</v>
      </c>
      <c r="D44" s="466">
        <f>IF(F43+SUM(E$17:E43)=D$10,F43,D$10-SUM(E$17:E43))</f>
        <v>26549.595040375607</v>
      </c>
      <c r="E44" s="354">
        <f t="shared" si="12"/>
        <v>1689.7071428571428</v>
      </c>
      <c r="F44" s="466">
        <f t="shared" si="13"/>
        <v>24859.887897518463</v>
      </c>
      <c r="G44" s="493">
        <f t="shared" si="14"/>
        <v>4460.967343777651</v>
      </c>
      <c r="H44" s="463">
        <f t="shared" si="15"/>
        <v>4460.967343777651</v>
      </c>
      <c r="I44" s="468">
        <f t="shared" si="4"/>
        <v>0</v>
      </c>
      <c r="J44" s="468"/>
      <c r="K44" s="115"/>
      <c r="L44" s="446">
        <f t="shared" si="0"/>
        <v>0</v>
      </c>
      <c r="M44" s="115"/>
      <c r="N44" s="446">
        <f t="shared" si="1"/>
        <v>0</v>
      </c>
      <c r="O44" s="446">
        <f t="shared" si="2"/>
        <v>0</v>
      </c>
      <c r="P44" s="449"/>
    </row>
    <row r="45" spans="2:16">
      <c r="B45" s="7" t="str">
        <f t="shared" si="8"/>
        <v/>
      </c>
      <c r="C45" s="464">
        <f>IF(D11="","-",+C44+1)</f>
        <v>2050</v>
      </c>
      <c r="D45" s="466">
        <f>IF(F44+SUM(E$17:E44)=D$10,F44,D$10-SUM(E$17:E44))</f>
        <v>24859.887897518463</v>
      </c>
      <c r="E45" s="354">
        <f t="shared" si="12"/>
        <v>1689.7071428571428</v>
      </c>
      <c r="F45" s="466">
        <f t="shared" si="13"/>
        <v>23170.18075466132</v>
      </c>
      <c r="G45" s="493">
        <f t="shared" si="14"/>
        <v>4278.7979116568104</v>
      </c>
      <c r="H45" s="463">
        <f t="shared" si="15"/>
        <v>4278.7979116568104</v>
      </c>
      <c r="I45" s="468">
        <f t="shared" si="4"/>
        <v>0</v>
      </c>
      <c r="J45" s="468"/>
      <c r="K45" s="115"/>
      <c r="L45" s="446">
        <f t="shared" si="0"/>
        <v>0</v>
      </c>
      <c r="M45" s="115"/>
      <c r="N45" s="446">
        <f t="shared" si="1"/>
        <v>0</v>
      </c>
      <c r="O45" s="446">
        <f t="shared" si="2"/>
        <v>0</v>
      </c>
      <c r="P45" s="449"/>
    </row>
    <row r="46" spans="2:16">
      <c r="B46" s="7" t="str">
        <f t="shared" si="8"/>
        <v/>
      </c>
      <c r="C46" s="464">
        <f>IF(D11="","-",+C45+1)</f>
        <v>2051</v>
      </c>
      <c r="D46" s="466">
        <f>IF(F45+SUM(E$17:E45)=D$10,F45,D$10-SUM(E$17:E45))</f>
        <v>23170.18075466132</v>
      </c>
      <c r="E46" s="354">
        <f t="shared" si="12"/>
        <v>1689.7071428571428</v>
      </c>
      <c r="F46" s="466">
        <f t="shared" si="13"/>
        <v>21480.473611804176</v>
      </c>
      <c r="G46" s="493">
        <f t="shared" si="14"/>
        <v>4096.6284795359697</v>
      </c>
      <c r="H46" s="463">
        <f t="shared" si="15"/>
        <v>4096.6284795359697</v>
      </c>
      <c r="I46" s="468">
        <f t="shared" si="4"/>
        <v>0</v>
      </c>
      <c r="J46" s="468"/>
      <c r="K46" s="115"/>
      <c r="L46" s="446">
        <f t="shared" si="0"/>
        <v>0</v>
      </c>
      <c r="M46" s="115"/>
      <c r="N46" s="446">
        <f t="shared" si="1"/>
        <v>0</v>
      </c>
      <c r="O46" s="446">
        <f t="shared" si="2"/>
        <v>0</v>
      </c>
      <c r="P46" s="449"/>
    </row>
    <row r="47" spans="2:16">
      <c r="B47" s="7" t="str">
        <f t="shared" si="8"/>
        <v/>
      </c>
      <c r="C47" s="464">
        <f>IF(D11="","-",+C46+1)</f>
        <v>2052</v>
      </c>
      <c r="D47" s="466">
        <f>IF(F46+SUM(E$17:E46)=D$10,F46,D$10-SUM(E$17:E46))</f>
        <v>21480.473611804176</v>
      </c>
      <c r="E47" s="354">
        <f t="shared" si="12"/>
        <v>1689.7071428571428</v>
      </c>
      <c r="F47" s="466">
        <f t="shared" si="13"/>
        <v>19790.766468947033</v>
      </c>
      <c r="G47" s="493">
        <f t="shared" si="14"/>
        <v>3914.4590474151291</v>
      </c>
      <c r="H47" s="463">
        <f t="shared" si="15"/>
        <v>3914.4590474151291</v>
      </c>
      <c r="I47" s="468">
        <f t="shared" si="4"/>
        <v>0</v>
      </c>
      <c r="J47" s="468"/>
      <c r="K47" s="115"/>
      <c r="L47" s="446">
        <f t="shared" si="0"/>
        <v>0</v>
      </c>
      <c r="M47" s="115"/>
      <c r="N47" s="446">
        <f t="shared" si="1"/>
        <v>0</v>
      </c>
      <c r="O47" s="446">
        <f t="shared" si="2"/>
        <v>0</v>
      </c>
      <c r="P47" s="449"/>
    </row>
    <row r="48" spans="2:16">
      <c r="B48" s="7" t="str">
        <f t="shared" si="8"/>
        <v/>
      </c>
      <c r="C48" s="464">
        <f>IF(D11="","-",+C47+1)</f>
        <v>2053</v>
      </c>
      <c r="D48" s="466">
        <f>IF(F47+SUM(E$17:E47)=D$10,F47,D$10-SUM(E$17:E47))</f>
        <v>19790.766468947033</v>
      </c>
      <c r="E48" s="354">
        <f t="shared" si="12"/>
        <v>1689.7071428571428</v>
      </c>
      <c r="F48" s="466">
        <f t="shared" si="13"/>
        <v>18101.05932608989</v>
      </c>
      <c r="G48" s="493">
        <f t="shared" si="14"/>
        <v>3732.2896152942885</v>
      </c>
      <c r="H48" s="463">
        <f t="shared" si="15"/>
        <v>3732.2896152942885</v>
      </c>
      <c r="I48" s="468">
        <f t="shared" si="4"/>
        <v>0</v>
      </c>
      <c r="J48" s="468"/>
      <c r="K48" s="115"/>
      <c r="L48" s="446">
        <f t="shared" si="0"/>
        <v>0</v>
      </c>
      <c r="M48" s="115"/>
      <c r="N48" s="446">
        <f t="shared" si="1"/>
        <v>0</v>
      </c>
      <c r="O48" s="446">
        <f t="shared" si="2"/>
        <v>0</v>
      </c>
      <c r="P48" s="449"/>
    </row>
    <row r="49" spans="2:16">
      <c r="B49" s="7" t="str">
        <f t="shared" si="8"/>
        <v/>
      </c>
      <c r="C49" s="464">
        <f>IF(D11="","-",+C48+1)</f>
        <v>2054</v>
      </c>
      <c r="D49" s="466">
        <f>IF(F48+SUM(E$17:E48)=D$10,F48,D$10-SUM(E$17:E48))</f>
        <v>18101.05932608989</v>
      </c>
      <c r="E49" s="354">
        <f t="shared" si="12"/>
        <v>1689.7071428571428</v>
      </c>
      <c r="F49" s="466">
        <f t="shared" si="13"/>
        <v>16411.352183232746</v>
      </c>
      <c r="G49" s="493">
        <f t="shared" si="14"/>
        <v>3550.1201831734475</v>
      </c>
      <c r="H49" s="463">
        <f t="shared" si="15"/>
        <v>3550.1201831734475</v>
      </c>
      <c r="I49" s="468">
        <f t="shared" si="4"/>
        <v>0</v>
      </c>
      <c r="J49" s="468"/>
      <c r="K49" s="115"/>
      <c r="L49" s="446">
        <f t="shared" si="0"/>
        <v>0</v>
      </c>
      <c r="M49" s="115"/>
      <c r="N49" s="446">
        <f t="shared" si="1"/>
        <v>0</v>
      </c>
      <c r="O49" s="446">
        <f t="shared" si="2"/>
        <v>0</v>
      </c>
      <c r="P49" s="449"/>
    </row>
    <row r="50" spans="2:16">
      <c r="B50" s="7" t="str">
        <f t="shared" si="8"/>
        <v/>
      </c>
      <c r="C50" s="464">
        <f>IF(D11="","-",+C49+1)</f>
        <v>2055</v>
      </c>
      <c r="D50" s="466">
        <f>IF(F49+SUM(E$17:E49)=D$10,F49,D$10-SUM(E$17:E49))</f>
        <v>16411.352183232746</v>
      </c>
      <c r="E50" s="354">
        <f t="shared" si="12"/>
        <v>1689.7071428571428</v>
      </c>
      <c r="F50" s="466">
        <f t="shared" si="13"/>
        <v>14721.645040375603</v>
      </c>
      <c r="G50" s="493">
        <f t="shared" si="14"/>
        <v>3367.9507510526068</v>
      </c>
      <c r="H50" s="463">
        <f t="shared" si="15"/>
        <v>3367.9507510526068</v>
      </c>
      <c r="I50" s="468">
        <f t="shared" si="4"/>
        <v>0</v>
      </c>
      <c r="J50" s="468"/>
      <c r="K50" s="115"/>
      <c r="L50" s="446">
        <f t="shared" si="0"/>
        <v>0</v>
      </c>
      <c r="M50" s="115"/>
      <c r="N50" s="446">
        <f t="shared" si="1"/>
        <v>0</v>
      </c>
      <c r="O50" s="446">
        <f t="shared" si="2"/>
        <v>0</v>
      </c>
      <c r="P50" s="449"/>
    </row>
    <row r="51" spans="2:16">
      <c r="B51" s="7" t="str">
        <f t="shared" si="8"/>
        <v/>
      </c>
      <c r="C51" s="464">
        <f>IF(D11="","-",+C50+1)</f>
        <v>2056</v>
      </c>
      <c r="D51" s="466">
        <f>IF(F50+SUM(E$17:E50)=D$10,F50,D$10-SUM(E$17:E50))</f>
        <v>14721.645040375603</v>
      </c>
      <c r="E51" s="354">
        <f t="shared" si="12"/>
        <v>1689.7071428571428</v>
      </c>
      <c r="F51" s="466">
        <f t="shared" si="13"/>
        <v>13031.937897518459</v>
      </c>
      <c r="G51" s="493">
        <f t="shared" si="14"/>
        <v>3185.7813189317662</v>
      </c>
      <c r="H51" s="463">
        <f t="shared" si="15"/>
        <v>3185.7813189317662</v>
      </c>
      <c r="I51" s="468">
        <f t="shared" si="4"/>
        <v>0</v>
      </c>
      <c r="J51" s="468"/>
      <c r="K51" s="115"/>
      <c r="L51" s="446">
        <f t="shared" si="0"/>
        <v>0</v>
      </c>
      <c r="M51" s="115"/>
      <c r="N51" s="446">
        <f t="shared" si="1"/>
        <v>0</v>
      </c>
      <c r="O51" s="446">
        <f t="shared" si="2"/>
        <v>0</v>
      </c>
      <c r="P51" s="449"/>
    </row>
    <row r="52" spans="2:16">
      <c r="B52" s="7" t="str">
        <f t="shared" si="8"/>
        <v/>
      </c>
      <c r="C52" s="464">
        <f>IF(D11="","-",+C51+1)</f>
        <v>2057</v>
      </c>
      <c r="D52" s="466">
        <f>IF(F51+SUM(E$17:E51)=D$10,F51,D$10-SUM(E$17:E51))</f>
        <v>13031.937897518459</v>
      </c>
      <c r="E52" s="354">
        <f t="shared" si="12"/>
        <v>1689.7071428571428</v>
      </c>
      <c r="F52" s="466">
        <f t="shared" si="13"/>
        <v>11342.230754661316</v>
      </c>
      <c r="G52" s="493">
        <f t="shared" si="14"/>
        <v>3003.6118868109256</v>
      </c>
      <c r="H52" s="463">
        <f t="shared" si="15"/>
        <v>3003.6118868109256</v>
      </c>
      <c r="I52" s="468">
        <f t="shared" si="4"/>
        <v>0</v>
      </c>
      <c r="J52" s="468"/>
      <c r="K52" s="115"/>
      <c r="L52" s="446">
        <f t="shared" si="0"/>
        <v>0</v>
      </c>
      <c r="M52" s="115"/>
      <c r="N52" s="446">
        <f t="shared" si="1"/>
        <v>0</v>
      </c>
      <c r="O52" s="446">
        <f t="shared" si="2"/>
        <v>0</v>
      </c>
      <c r="P52" s="449"/>
    </row>
    <row r="53" spans="2:16">
      <c r="B53" s="7" t="str">
        <f t="shared" si="8"/>
        <v/>
      </c>
      <c r="C53" s="464">
        <f>IF(D11="","-",+C52+1)</f>
        <v>2058</v>
      </c>
      <c r="D53" s="466">
        <f>IF(F52+SUM(E$17:E52)=D$10,F52,D$10-SUM(E$17:E52))</f>
        <v>11342.230754661316</v>
      </c>
      <c r="E53" s="354">
        <f t="shared" si="12"/>
        <v>1689.7071428571428</v>
      </c>
      <c r="F53" s="466">
        <f t="shared" si="13"/>
        <v>9652.5236118041721</v>
      </c>
      <c r="G53" s="493">
        <f t="shared" si="14"/>
        <v>2821.4424546900846</v>
      </c>
      <c r="H53" s="463">
        <f t="shared" si="15"/>
        <v>2821.4424546900846</v>
      </c>
      <c r="I53" s="468">
        <f t="shared" si="4"/>
        <v>0</v>
      </c>
      <c r="J53" s="468"/>
      <c r="K53" s="115"/>
      <c r="L53" s="446">
        <f t="shared" si="0"/>
        <v>0</v>
      </c>
      <c r="M53" s="115"/>
      <c r="N53" s="446">
        <f t="shared" si="1"/>
        <v>0</v>
      </c>
      <c r="O53" s="446">
        <f t="shared" si="2"/>
        <v>0</v>
      </c>
      <c r="P53" s="449"/>
    </row>
    <row r="54" spans="2:16">
      <c r="B54" s="7" t="str">
        <f t="shared" si="8"/>
        <v/>
      </c>
      <c r="C54" s="464">
        <f>IF(D11="","-",+C53+1)</f>
        <v>2059</v>
      </c>
      <c r="D54" s="466">
        <f>IF(F53+SUM(E$17:E53)=D$10,F53,D$10-SUM(E$17:E53))</f>
        <v>9652.5236118041721</v>
      </c>
      <c r="E54" s="354">
        <f t="shared" si="12"/>
        <v>1689.7071428571428</v>
      </c>
      <c r="F54" s="466">
        <f t="shared" si="13"/>
        <v>7962.8164689470295</v>
      </c>
      <c r="G54" s="493">
        <f t="shared" si="14"/>
        <v>2639.2730225692439</v>
      </c>
      <c r="H54" s="463">
        <f t="shared" si="15"/>
        <v>2639.2730225692439</v>
      </c>
      <c r="I54" s="468">
        <f t="shared" si="4"/>
        <v>0</v>
      </c>
      <c r="J54" s="468"/>
      <c r="K54" s="115"/>
      <c r="L54" s="446">
        <f t="shared" si="0"/>
        <v>0</v>
      </c>
      <c r="M54" s="115"/>
      <c r="N54" s="446">
        <f t="shared" si="1"/>
        <v>0</v>
      </c>
      <c r="O54" s="446">
        <f t="shared" si="2"/>
        <v>0</v>
      </c>
      <c r="P54" s="449"/>
    </row>
    <row r="55" spans="2:16">
      <c r="B55" s="7" t="str">
        <f t="shared" si="8"/>
        <v/>
      </c>
      <c r="C55" s="464">
        <f>IF(D11="","-",+C54+1)</f>
        <v>2060</v>
      </c>
      <c r="D55" s="466">
        <f>IF(F54+SUM(E$17:E54)=D$10,F54,D$10-SUM(E$17:E54))</f>
        <v>7962.8164689470295</v>
      </c>
      <c r="E55" s="354">
        <f t="shared" si="12"/>
        <v>1689.7071428571428</v>
      </c>
      <c r="F55" s="466">
        <f t="shared" si="13"/>
        <v>6273.109326089887</v>
      </c>
      <c r="G55" s="493">
        <f t="shared" si="14"/>
        <v>2457.1035904484038</v>
      </c>
      <c r="H55" s="463">
        <f t="shared" si="15"/>
        <v>2457.1035904484038</v>
      </c>
      <c r="I55" s="468">
        <f t="shared" si="4"/>
        <v>0</v>
      </c>
      <c r="J55" s="468"/>
      <c r="K55" s="115"/>
      <c r="L55" s="446">
        <f t="shared" si="0"/>
        <v>0</v>
      </c>
      <c r="M55" s="115"/>
      <c r="N55" s="446">
        <f t="shared" si="1"/>
        <v>0</v>
      </c>
      <c r="O55" s="446">
        <f t="shared" si="2"/>
        <v>0</v>
      </c>
      <c r="P55" s="449"/>
    </row>
    <row r="56" spans="2:16">
      <c r="B56" s="7" t="str">
        <f t="shared" si="8"/>
        <v/>
      </c>
      <c r="C56" s="464">
        <f>IF(D11="","-",+C55+1)</f>
        <v>2061</v>
      </c>
      <c r="D56" s="466">
        <f>IF(F55+SUM(E$17:E55)=D$10,F55,D$10-SUM(E$17:E55))</f>
        <v>6273.109326089887</v>
      </c>
      <c r="E56" s="354">
        <f t="shared" si="12"/>
        <v>1689.7071428571428</v>
      </c>
      <c r="F56" s="466">
        <f t="shared" si="13"/>
        <v>4583.4021832327444</v>
      </c>
      <c r="G56" s="493">
        <f t="shared" si="14"/>
        <v>2274.9341583275632</v>
      </c>
      <c r="H56" s="463">
        <f t="shared" si="15"/>
        <v>2274.9341583275632</v>
      </c>
      <c r="I56" s="468">
        <f t="shared" si="4"/>
        <v>0</v>
      </c>
      <c r="J56" s="468"/>
      <c r="K56" s="115"/>
      <c r="L56" s="446">
        <f t="shared" si="0"/>
        <v>0</v>
      </c>
      <c r="M56" s="115"/>
      <c r="N56" s="446">
        <f t="shared" si="1"/>
        <v>0</v>
      </c>
      <c r="O56" s="446">
        <f t="shared" si="2"/>
        <v>0</v>
      </c>
      <c r="P56" s="449"/>
    </row>
    <row r="57" spans="2:16">
      <c r="B57" s="7" t="str">
        <f t="shared" si="8"/>
        <v/>
      </c>
      <c r="C57" s="464">
        <f>IF(D11="","-",+C56+1)</f>
        <v>2062</v>
      </c>
      <c r="D57" s="466">
        <f>IF(F56+SUM(E$17:E56)=D$10,F56,D$10-SUM(E$17:E56))</f>
        <v>4583.4021832327444</v>
      </c>
      <c r="E57" s="354">
        <f t="shared" si="12"/>
        <v>1689.7071428571428</v>
      </c>
      <c r="F57" s="466">
        <f t="shared" si="13"/>
        <v>2893.6950403756018</v>
      </c>
      <c r="G57" s="493">
        <f t="shared" si="14"/>
        <v>2092.7647262067226</v>
      </c>
      <c r="H57" s="463">
        <f t="shared" si="15"/>
        <v>2092.7647262067226</v>
      </c>
      <c r="I57" s="468">
        <f t="shared" si="4"/>
        <v>0</v>
      </c>
      <c r="J57" s="468"/>
      <c r="K57" s="115"/>
      <c r="L57" s="446">
        <f t="shared" si="0"/>
        <v>0</v>
      </c>
      <c r="M57" s="115"/>
      <c r="N57" s="446">
        <f t="shared" si="1"/>
        <v>0</v>
      </c>
      <c r="O57" s="446">
        <f t="shared" si="2"/>
        <v>0</v>
      </c>
      <c r="P57" s="449"/>
    </row>
    <row r="58" spans="2:16">
      <c r="B58" s="7" t="str">
        <f t="shared" si="8"/>
        <v/>
      </c>
      <c r="C58" s="464">
        <f>IF(D11="","-",+C57+1)</f>
        <v>2063</v>
      </c>
      <c r="D58" s="466">
        <f>IF(F57+SUM(E$17:E57)=D$10,F57,D$10-SUM(E$17:E57))</f>
        <v>2893.6950403756018</v>
      </c>
      <c r="E58" s="354">
        <f t="shared" si="12"/>
        <v>1689.7071428571428</v>
      </c>
      <c r="F58" s="466">
        <f t="shared" si="13"/>
        <v>1203.987897518459</v>
      </c>
      <c r="G58" s="493">
        <f t="shared" si="14"/>
        <v>1910.595294085882</v>
      </c>
      <c r="H58" s="463">
        <f t="shared" si="15"/>
        <v>1910.595294085882</v>
      </c>
      <c r="I58" s="468">
        <f t="shared" si="4"/>
        <v>0</v>
      </c>
      <c r="J58" s="468"/>
      <c r="K58" s="115"/>
      <c r="L58" s="446">
        <f t="shared" si="0"/>
        <v>0</v>
      </c>
      <c r="M58" s="115"/>
      <c r="N58" s="446">
        <f t="shared" si="1"/>
        <v>0</v>
      </c>
      <c r="O58" s="446">
        <f t="shared" si="2"/>
        <v>0</v>
      </c>
      <c r="P58" s="449"/>
    </row>
    <row r="59" spans="2:16">
      <c r="B59" s="7" t="str">
        <f t="shared" si="8"/>
        <v/>
      </c>
      <c r="C59" s="464">
        <f>IF(D11="","-",+C58+1)</f>
        <v>2064</v>
      </c>
      <c r="D59" s="466">
        <f>IF(F58+SUM(E$17:E58)=D$10,F58,D$10-SUM(E$17:E58))</f>
        <v>1203.987897518459</v>
      </c>
      <c r="E59" s="354">
        <f t="shared" si="12"/>
        <v>1203.987897518459</v>
      </c>
      <c r="F59" s="466">
        <f t="shared" si="13"/>
        <v>0</v>
      </c>
      <c r="G59" s="493">
        <f t="shared" si="14"/>
        <v>1268.8896151026186</v>
      </c>
      <c r="H59" s="463">
        <f t="shared" si="15"/>
        <v>1268.8896151026186</v>
      </c>
      <c r="I59" s="468">
        <f t="shared" si="4"/>
        <v>0</v>
      </c>
      <c r="J59" s="468"/>
      <c r="K59" s="115"/>
      <c r="L59" s="446">
        <f t="shared" si="0"/>
        <v>0</v>
      </c>
      <c r="M59" s="115"/>
      <c r="N59" s="446">
        <f t="shared" si="1"/>
        <v>0</v>
      </c>
      <c r="O59" s="446">
        <f t="shared" si="2"/>
        <v>0</v>
      </c>
      <c r="P59" s="449"/>
    </row>
    <row r="60" spans="2:16">
      <c r="B60" s="7" t="str">
        <f t="shared" si="8"/>
        <v/>
      </c>
      <c r="C60" s="464">
        <f>IF(D11="","-",+C59+1)</f>
        <v>2065</v>
      </c>
      <c r="D60" s="466">
        <f>IF(F59+SUM(E$17:E59)=D$10,F59,D$10-SUM(E$17:E59))</f>
        <v>0</v>
      </c>
      <c r="E60" s="354">
        <f t="shared" si="12"/>
        <v>0</v>
      </c>
      <c r="F60" s="466">
        <f t="shared" si="13"/>
        <v>0</v>
      </c>
      <c r="G60" s="493">
        <f t="shared" si="14"/>
        <v>0</v>
      </c>
      <c r="H60" s="463">
        <f t="shared" si="15"/>
        <v>0</v>
      </c>
      <c r="I60" s="468">
        <f t="shared" si="4"/>
        <v>0</v>
      </c>
      <c r="J60" s="468"/>
      <c r="K60" s="115"/>
      <c r="L60" s="446">
        <f t="shared" si="0"/>
        <v>0</v>
      </c>
      <c r="M60" s="115"/>
      <c r="N60" s="446">
        <f t="shared" si="1"/>
        <v>0</v>
      </c>
      <c r="O60" s="446">
        <f t="shared" si="2"/>
        <v>0</v>
      </c>
      <c r="P60" s="449"/>
    </row>
    <row r="61" spans="2:16">
      <c r="B61" s="7" t="str">
        <f t="shared" si="8"/>
        <v/>
      </c>
      <c r="C61" s="464">
        <f>IF(D11="","-",+C60+1)</f>
        <v>2066</v>
      </c>
      <c r="D61" s="466">
        <f>IF(F60+SUM(E$17:E60)=D$10,F60,D$10-SUM(E$17:E60))</f>
        <v>0</v>
      </c>
      <c r="E61" s="354">
        <f t="shared" si="12"/>
        <v>0</v>
      </c>
      <c r="F61" s="466">
        <f t="shared" si="13"/>
        <v>0</v>
      </c>
      <c r="G61" s="493">
        <f t="shared" si="14"/>
        <v>0</v>
      </c>
      <c r="H61" s="463">
        <f t="shared" si="15"/>
        <v>0</v>
      </c>
      <c r="I61" s="468">
        <f t="shared" si="4"/>
        <v>0</v>
      </c>
      <c r="J61" s="468"/>
      <c r="K61" s="115"/>
      <c r="L61" s="446">
        <f t="shared" si="0"/>
        <v>0</v>
      </c>
      <c r="M61" s="115"/>
      <c r="N61" s="446">
        <f t="shared" si="1"/>
        <v>0</v>
      </c>
      <c r="O61" s="446">
        <f t="shared" si="2"/>
        <v>0</v>
      </c>
      <c r="P61" s="449"/>
    </row>
    <row r="62" spans="2:16">
      <c r="B62" s="7" t="str">
        <f t="shared" si="8"/>
        <v/>
      </c>
      <c r="C62" s="464">
        <f>IF(D11="","-",+C61+1)</f>
        <v>2067</v>
      </c>
      <c r="D62" s="466">
        <f>IF(F61+SUM(E$17:E61)=D$10,F61,D$10-SUM(E$17:E61))</f>
        <v>0</v>
      </c>
      <c r="E62" s="354">
        <f t="shared" si="12"/>
        <v>0</v>
      </c>
      <c r="F62" s="466">
        <f t="shared" si="13"/>
        <v>0</v>
      </c>
      <c r="G62" s="493">
        <f t="shared" si="14"/>
        <v>0</v>
      </c>
      <c r="H62" s="463">
        <f t="shared" si="15"/>
        <v>0</v>
      </c>
      <c r="I62" s="468">
        <f t="shared" si="4"/>
        <v>0</v>
      </c>
      <c r="J62" s="468"/>
      <c r="K62" s="115"/>
      <c r="L62" s="446">
        <f t="shared" si="0"/>
        <v>0</v>
      </c>
      <c r="M62" s="115"/>
      <c r="N62" s="446">
        <f t="shared" si="1"/>
        <v>0</v>
      </c>
      <c r="O62" s="446">
        <f t="shared" si="2"/>
        <v>0</v>
      </c>
      <c r="P62" s="449"/>
    </row>
    <row r="63" spans="2:16">
      <c r="B63" s="7" t="str">
        <f t="shared" si="8"/>
        <v/>
      </c>
      <c r="C63" s="464">
        <f>IF(D11="","-",+C62+1)</f>
        <v>2068</v>
      </c>
      <c r="D63" s="466">
        <f>IF(F62+SUM(E$17:E62)=D$10,F62,D$10-SUM(E$17:E62))</f>
        <v>0</v>
      </c>
      <c r="E63" s="354">
        <f t="shared" si="12"/>
        <v>0</v>
      </c>
      <c r="F63" s="466">
        <f t="shared" si="13"/>
        <v>0</v>
      </c>
      <c r="G63" s="493">
        <f t="shared" si="14"/>
        <v>0</v>
      </c>
      <c r="H63" s="463">
        <f t="shared" si="15"/>
        <v>0</v>
      </c>
      <c r="I63" s="468">
        <f t="shared" si="4"/>
        <v>0</v>
      </c>
      <c r="J63" s="468"/>
      <c r="K63" s="115"/>
      <c r="L63" s="446">
        <f t="shared" si="0"/>
        <v>0</v>
      </c>
      <c r="M63" s="115"/>
      <c r="N63" s="446">
        <f t="shared" si="1"/>
        <v>0</v>
      </c>
      <c r="O63" s="446">
        <f t="shared" si="2"/>
        <v>0</v>
      </c>
      <c r="P63" s="449"/>
    </row>
    <row r="64" spans="2:16">
      <c r="B64" s="7" t="str">
        <f t="shared" si="8"/>
        <v/>
      </c>
      <c r="C64" s="464">
        <f>IF(D11="","-",+C63+1)</f>
        <v>2069</v>
      </c>
      <c r="D64" s="466">
        <f>IF(F63+SUM(E$17:E63)=D$10,F63,D$10-SUM(E$17:E63))</f>
        <v>0</v>
      </c>
      <c r="E64" s="354">
        <f t="shared" si="12"/>
        <v>0</v>
      </c>
      <c r="F64" s="466">
        <f t="shared" si="13"/>
        <v>0</v>
      </c>
      <c r="G64" s="493">
        <f t="shared" si="14"/>
        <v>0</v>
      </c>
      <c r="H64" s="463">
        <f t="shared" si="15"/>
        <v>0</v>
      </c>
      <c r="I64" s="468">
        <f t="shared" si="4"/>
        <v>0</v>
      </c>
      <c r="J64" s="468"/>
      <c r="K64" s="115"/>
      <c r="L64" s="446">
        <f t="shared" si="0"/>
        <v>0</v>
      </c>
      <c r="M64" s="115"/>
      <c r="N64" s="446">
        <f t="shared" si="1"/>
        <v>0</v>
      </c>
      <c r="O64" s="446">
        <f t="shared" si="2"/>
        <v>0</v>
      </c>
      <c r="P64" s="449"/>
    </row>
    <row r="65" spans="2:16">
      <c r="B65" s="7" t="str">
        <f t="shared" si="8"/>
        <v/>
      </c>
      <c r="C65" s="464">
        <f>IF(D11="","-",+C64+1)</f>
        <v>2070</v>
      </c>
      <c r="D65" s="466">
        <f>IF(F64+SUM(E$17:E64)=D$10,F64,D$10-SUM(E$17:E64))</f>
        <v>0</v>
      </c>
      <c r="E65" s="354">
        <f t="shared" si="12"/>
        <v>0</v>
      </c>
      <c r="F65" s="466">
        <f t="shared" si="13"/>
        <v>0</v>
      </c>
      <c r="G65" s="493">
        <f t="shared" si="14"/>
        <v>0</v>
      </c>
      <c r="H65" s="463">
        <f t="shared" si="15"/>
        <v>0</v>
      </c>
      <c r="I65" s="468">
        <f t="shared" si="4"/>
        <v>0</v>
      </c>
      <c r="J65" s="468"/>
      <c r="K65" s="115"/>
      <c r="L65" s="446">
        <f t="shared" si="0"/>
        <v>0</v>
      </c>
      <c r="M65" s="115"/>
      <c r="N65" s="446">
        <f t="shared" si="1"/>
        <v>0</v>
      </c>
      <c r="O65" s="446">
        <f t="shared" si="2"/>
        <v>0</v>
      </c>
      <c r="P65" s="449"/>
    </row>
    <row r="66" spans="2:16">
      <c r="B66" s="7" t="str">
        <f t="shared" si="8"/>
        <v/>
      </c>
      <c r="C66" s="464">
        <f>IF(D11="","-",+C65+1)</f>
        <v>2071</v>
      </c>
      <c r="D66" s="466">
        <f>IF(F65+SUM(E$17:E65)=D$10,F65,D$10-SUM(E$17:E65))</f>
        <v>0</v>
      </c>
      <c r="E66" s="354">
        <f t="shared" si="12"/>
        <v>0</v>
      </c>
      <c r="F66" s="466">
        <f t="shared" si="13"/>
        <v>0</v>
      </c>
      <c r="G66" s="493">
        <f t="shared" si="14"/>
        <v>0</v>
      </c>
      <c r="H66" s="463">
        <f t="shared" si="15"/>
        <v>0</v>
      </c>
      <c r="I66" s="468">
        <f t="shared" si="4"/>
        <v>0</v>
      </c>
      <c r="J66" s="468"/>
      <c r="K66" s="115"/>
      <c r="L66" s="446">
        <f t="shared" si="0"/>
        <v>0</v>
      </c>
      <c r="M66" s="115"/>
      <c r="N66" s="446">
        <f t="shared" si="1"/>
        <v>0</v>
      </c>
      <c r="O66" s="446">
        <f t="shared" si="2"/>
        <v>0</v>
      </c>
      <c r="P66" s="449"/>
    </row>
    <row r="67" spans="2:16">
      <c r="B67" s="7" t="str">
        <f t="shared" si="8"/>
        <v/>
      </c>
      <c r="C67" s="464">
        <f>IF(D11="","-",+C66+1)</f>
        <v>2072</v>
      </c>
      <c r="D67" s="466">
        <f>IF(F66+SUM(E$17:E66)=D$10,F66,D$10-SUM(E$17:E66))</f>
        <v>0</v>
      </c>
      <c r="E67" s="354">
        <f t="shared" si="12"/>
        <v>0</v>
      </c>
      <c r="F67" s="466">
        <f t="shared" si="13"/>
        <v>0</v>
      </c>
      <c r="G67" s="493">
        <f t="shared" si="14"/>
        <v>0</v>
      </c>
      <c r="H67" s="463">
        <f t="shared" si="15"/>
        <v>0</v>
      </c>
      <c r="I67" s="468">
        <f t="shared" si="4"/>
        <v>0</v>
      </c>
      <c r="J67" s="468"/>
      <c r="K67" s="115"/>
      <c r="L67" s="446">
        <f t="shared" si="0"/>
        <v>0</v>
      </c>
      <c r="M67" s="115"/>
      <c r="N67" s="446">
        <f t="shared" si="1"/>
        <v>0</v>
      </c>
      <c r="O67" s="446">
        <f t="shared" si="2"/>
        <v>0</v>
      </c>
      <c r="P67" s="449"/>
    </row>
    <row r="68" spans="2:16">
      <c r="B68" s="7" t="str">
        <f t="shared" si="8"/>
        <v/>
      </c>
      <c r="C68" s="464">
        <f>IF(D11="","-",+C67+1)</f>
        <v>2073</v>
      </c>
      <c r="D68" s="466">
        <f>IF(F67+SUM(E$17:E67)=D$10,F67,D$10-SUM(E$17:E67))</f>
        <v>0</v>
      </c>
      <c r="E68" s="354">
        <f t="shared" si="12"/>
        <v>0</v>
      </c>
      <c r="F68" s="466">
        <f t="shared" si="13"/>
        <v>0</v>
      </c>
      <c r="G68" s="493">
        <f t="shared" si="14"/>
        <v>0</v>
      </c>
      <c r="H68" s="463">
        <f t="shared" si="15"/>
        <v>0</v>
      </c>
      <c r="I68" s="468">
        <f t="shared" si="4"/>
        <v>0</v>
      </c>
      <c r="J68" s="468"/>
      <c r="K68" s="115"/>
      <c r="L68" s="446">
        <f t="shared" si="0"/>
        <v>0</v>
      </c>
      <c r="M68" s="115"/>
      <c r="N68" s="446">
        <f t="shared" si="1"/>
        <v>0</v>
      </c>
      <c r="O68" s="446">
        <f t="shared" si="2"/>
        <v>0</v>
      </c>
      <c r="P68" s="449"/>
    </row>
    <row r="69" spans="2:16">
      <c r="B69" s="7" t="str">
        <f t="shared" si="8"/>
        <v/>
      </c>
      <c r="C69" s="464">
        <f>IF(D11="","-",+C68+1)</f>
        <v>2074</v>
      </c>
      <c r="D69" s="466">
        <f>IF(F68+SUM(E$17:E68)=D$10,F68,D$10-SUM(E$17:E68))</f>
        <v>0</v>
      </c>
      <c r="E69" s="354">
        <f t="shared" si="12"/>
        <v>0</v>
      </c>
      <c r="F69" s="466">
        <f t="shared" si="13"/>
        <v>0</v>
      </c>
      <c r="G69" s="493">
        <f t="shared" si="14"/>
        <v>0</v>
      </c>
      <c r="H69" s="463">
        <f t="shared" si="15"/>
        <v>0</v>
      </c>
      <c r="I69" s="468">
        <f t="shared" si="4"/>
        <v>0</v>
      </c>
      <c r="J69" s="468"/>
      <c r="K69" s="115"/>
      <c r="L69" s="446">
        <f t="shared" si="0"/>
        <v>0</v>
      </c>
      <c r="M69" s="115"/>
      <c r="N69" s="446">
        <f t="shared" si="1"/>
        <v>0</v>
      </c>
      <c r="O69" s="446">
        <f t="shared" si="2"/>
        <v>0</v>
      </c>
      <c r="P69" s="449"/>
    </row>
    <row r="70" spans="2:16">
      <c r="B70" s="7" t="str">
        <f t="shared" si="8"/>
        <v/>
      </c>
      <c r="C70" s="464">
        <f>IF(D11="","-",+C69+1)</f>
        <v>2075</v>
      </c>
      <c r="D70" s="466">
        <f>IF(F69+SUM(E$17:E69)=D$10,F69,D$10-SUM(E$17:E69))</f>
        <v>0</v>
      </c>
      <c r="E70" s="354">
        <f t="shared" si="12"/>
        <v>0</v>
      </c>
      <c r="F70" s="466">
        <f t="shared" si="13"/>
        <v>0</v>
      </c>
      <c r="G70" s="493">
        <f t="shared" si="14"/>
        <v>0</v>
      </c>
      <c r="H70" s="463">
        <f t="shared" si="15"/>
        <v>0</v>
      </c>
      <c r="I70" s="468">
        <f t="shared" si="4"/>
        <v>0</v>
      </c>
      <c r="J70" s="468"/>
      <c r="K70" s="115"/>
      <c r="L70" s="446">
        <f t="shared" si="0"/>
        <v>0</v>
      </c>
      <c r="M70" s="115"/>
      <c r="N70" s="446">
        <f t="shared" si="1"/>
        <v>0</v>
      </c>
      <c r="O70" s="446">
        <f t="shared" si="2"/>
        <v>0</v>
      </c>
      <c r="P70" s="449"/>
    </row>
    <row r="71" spans="2:16">
      <c r="B71" s="7" t="str">
        <f t="shared" si="8"/>
        <v/>
      </c>
      <c r="C71" s="464">
        <f>IF(D11="","-",+C70+1)</f>
        <v>2076</v>
      </c>
      <c r="D71" s="466">
        <f>IF(F70+SUM(E$17:E70)=D$10,F70,D$10-SUM(E$17:E70))</f>
        <v>0</v>
      </c>
      <c r="E71" s="354">
        <f t="shared" si="12"/>
        <v>0</v>
      </c>
      <c r="F71" s="466">
        <f t="shared" si="13"/>
        <v>0</v>
      </c>
      <c r="G71" s="493">
        <f t="shared" si="14"/>
        <v>0</v>
      </c>
      <c r="H71" s="463">
        <f t="shared" si="15"/>
        <v>0</v>
      </c>
      <c r="I71" s="468">
        <f t="shared" si="4"/>
        <v>0</v>
      </c>
      <c r="J71" s="468"/>
      <c r="K71" s="115"/>
      <c r="L71" s="446">
        <f t="shared" si="0"/>
        <v>0</v>
      </c>
      <c r="M71" s="115"/>
      <c r="N71" s="446">
        <f t="shared" si="1"/>
        <v>0</v>
      </c>
      <c r="O71" s="446">
        <f t="shared" si="2"/>
        <v>0</v>
      </c>
      <c r="P71" s="449"/>
    </row>
    <row r="72" spans="2:16" ht="13.5" thickBot="1">
      <c r="B72" s="7" t="str">
        <f t="shared" si="8"/>
        <v/>
      </c>
      <c r="C72" s="471">
        <f>IF(D11="","-",+C71+1)</f>
        <v>2077</v>
      </c>
      <c r="D72" s="472">
        <f>IF(F71+SUM(E$17:E71)=D$10,F71,D$10-SUM(E$17:E71))</f>
        <v>0</v>
      </c>
      <c r="E72" s="357">
        <f>IF(+I$14&lt;F71,I$14,D72)</f>
        <v>0</v>
      </c>
      <c r="F72" s="472">
        <f>+D72-E72</f>
        <v>0</v>
      </c>
      <c r="G72" s="473">
        <f>(D72+F72)/2*I$12+E72</f>
        <v>0</v>
      </c>
      <c r="H72" s="456">
        <f>+(D72+F72)/2*I$13+E72</f>
        <v>0</v>
      </c>
      <c r="I72" s="474">
        <f>H72-G72</f>
        <v>0</v>
      </c>
      <c r="J72" s="468"/>
      <c r="K72" s="116"/>
      <c r="L72" s="475">
        <f t="shared" si="0"/>
        <v>0</v>
      </c>
      <c r="M72" s="116"/>
      <c r="N72" s="475">
        <f t="shared" si="1"/>
        <v>0</v>
      </c>
      <c r="O72" s="475">
        <f t="shared" si="2"/>
        <v>0</v>
      </c>
      <c r="P72" s="449"/>
    </row>
    <row r="73" spans="2:16">
      <c r="C73" s="465" t="s">
        <v>77</v>
      </c>
      <c r="D73" s="453"/>
      <c r="E73" s="453">
        <f>SUM(E17:E72)</f>
        <v>70967.699999999983</v>
      </c>
      <c r="F73" s="453"/>
      <c r="G73" s="453">
        <f>SUM(G17:G72)</f>
        <v>234173.87943596678</v>
      </c>
      <c r="H73" s="453">
        <f>SUM(H17:H72)</f>
        <v>234173.87943596678</v>
      </c>
      <c r="I73" s="453">
        <f>SUM(I17:I72)</f>
        <v>0</v>
      </c>
      <c r="J73" s="453"/>
      <c r="K73" s="453"/>
      <c r="L73" s="453"/>
      <c r="M73" s="453"/>
      <c r="N73" s="453"/>
      <c r="O73" s="449"/>
      <c r="P73" s="449"/>
    </row>
    <row r="74" spans="2:16">
      <c r="D74" s="450"/>
      <c r="E74" s="449"/>
      <c r="F74" s="449"/>
      <c r="G74" s="449"/>
      <c r="H74" s="452"/>
      <c r="I74" s="452"/>
      <c r="J74" s="453"/>
      <c r="K74" s="452"/>
      <c r="L74" s="452"/>
      <c r="M74" s="452"/>
      <c r="N74" s="452"/>
      <c r="O74" s="449"/>
      <c r="P74" s="449"/>
    </row>
    <row r="75" spans="2:16">
      <c r="C75" s="30" t="s">
        <v>106</v>
      </c>
      <c r="D75" s="450"/>
      <c r="E75" s="449"/>
      <c r="F75" s="449"/>
      <c r="G75" s="449"/>
      <c r="H75" s="452"/>
      <c r="I75" s="452"/>
      <c r="J75" s="453"/>
      <c r="K75" s="452"/>
      <c r="L75" s="452"/>
      <c r="M75" s="452"/>
      <c r="N75" s="452"/>
      <c r="O75" s="449"/>
      <c r="P75" s="449"/>
    </row>
    <row r="76" spans="2:16">
      <c r="C76" s="26" t="s">
        <v>78</v>
      </c>
      <c r="D76" s="450"/>
      <c r="E76" s="449"/>
      <c r="F76" s="449"/>
      <c r="G76" s="449"/>
      <c r="H76" s="452"/>
      <c r="I76" s="452"/>
      <c r="J76" s="453"/>
      <c r="K76" s="452"/>
      <c r="L76" s="452"/>
      <c r="M76" s="452"/>
      <c r="N76" s="452"/>
      <c r="O76" s="449"/>
      <c r="P76" s="449"/>
    </row>
    <row r="77" spans="2:16">
      <c r="C77" s="26" t="s">
        <v>79</v>
      </c>
      <c r="D77" s="465"/>
      <c r="E77" s="465"/>
      <c r="F77" s="465"/>
      <c r="G77" s="453"/>
      <c r="H77" s="453"/>
      <c r="I77" s="476"/>
      <c r="J77" s="476"/>
      <c r="K77" s="476"/>
      <c r="L77" s="476"/>
      <c r="M77" s="476"/>
      <c r="N77" s="476"/>
      <c r="O77" s="449"/>
      <c r="P77" s="449"/>
    </row>
    <row r="78" spans="2:16">
      <c r="C78" s="26"/>
      <c r="D78" s="465"/>
      <c r="E78" s="465"/>
      <c r="F78" s="465"/>
      <c r="G78" s="453"/>
      <c r="H78" s="453"/>
      <c r="I78" s="476"/>
      <c r="J78" s="476"/>
      <c r="K78" s="476"/>
      <c r="L78" s="476"/>
      <c r="M78" s="476"/>
      <c r="N78" s="476"/>
      <c r="O78" s="449"/>
      <c r="P78" s="449"/>
    </row>
    <row r="79" spans="2:16">
      <c r="B79" s="449"/>
      <c r="C79" s="449"/>
      <c r="D79" s="450"/>
      <c r="E79" s="449"/>
      <c r="F79" s="465"/>
      <c r="G79" s="449"/>
      <c r="H79" s="452"/>
      <c r="I79" s="449"/>
      <c r="J79" s="449"/>
      <c r="K79" s="449"/>
      <c r="L79" s="449"/>
      <c r="M79" s="449"/>
      <c r="N79" s="449"/>
      <c r="O79" s="449"/>
      <c r="P79" s="449"/>
    </row>
    <row r="80" spans="2:16" ht="18">
      <c r="B80" s="449"/>
      <c r="C80" s="477"/>
      <c r="D80" s="450"/>
      <c r="E80" s="449"/>
      <c r="F80" s="465"/>
      <c r="G80" s="449"/>
      <c r="H80" s="452"/>
      <c r="I80" s="449"/>
      <c r="J80" s="449"/>
      <c r="K80" s="449"/>
      <c r="L80" s="449"/>
      <c r="M80" s="449"/>
      <c r="N80" s="449"/>
      <c r="P80" s="95" t="s">
        <v>144</v>
      </c>
    </row>
    <row r="81" spans="1:16">
      <c r="B81" s="449"/>
      <c r="C81" s="449"/>
      <c r="D81" s="450"/>
      <c r="E81" s="449"/>
      <c r="F81" s="465"/>
      <c r="G81" s="449"/>
      <c r="H81" s="452"/>
      <c r="I81" s="449"/>
      <c r="J81" s="449"/>
      <c r="K81" s="449"/>
      <c r="L81" s="449"/>
      <c r="M81" s="449"/>
      <c r="N81" s="449"/>
      <c r="O81" s="449"/>
      <c r="P81" s="449"/>
    </row>
    <row r="82" spans="1:16">
      <c r="B82" s="449"/>
      <c r="C82" s="449"/>
      <c r="D82" s="450"/>
      <c r="E82" s="449"/>
      <c r="F82" s="465"/>
      <c r="G82" s="449"/>
      <c r="H82" s="452"/>
      <c r="I82" s="449"/>
      <c r="J82" s="449"/>
      <c r="K82" s="449"/>
      <c r="L82" s="449"/>
      <c r="M82" s="449"/>
      <c r="N82" s="449"/>
      <c r="O82" s="449"/>
      <c r="P82" s="449"/>
    </row>
    <row r="83" spans="1:16" ht="20.25">
      <c r="A83" s="94" t="s">
        <v>146</v>
      </c>
      <c r="B83" s="449"/>
      <c r="C83" s="449"/>
      <c r="D83" s="450"/>
      <c r="E83" s="449"/>
      <c r="F83" s="451"/>
      <c r="G83" s="451"/>
      <c r="H83" s="449"/>
      <c r="I83" s="452"/>
      <c r="L83" s="13"/>
      <c r="M83" s="13"/>
      <c r="P83" s="99" t="str">
        <f ca="1">"PSO Project "&amp;RIGHT(MID(CELL("filename",$A$1),FIND("]",CELL("filename",$A$1))+1,256),2)&amp;" of "&amp;COUNT('P.001:P.xyz - blank'!$P$3)-1</f>
        <v>PSO Project 31 of 36</v>
      </c>
    </row>
    <row r="84" spans="1:16" ht="18">
      <c r="B84" s="449"/>
      <c r="C84" s="449"/>
      <c r="D84" s="450"/>
      <c r="E84" s="449"/>
      <c r="F84" s="449"/>
      <c r="G84" s="449"/>
      <c r="H84" s="449"/>
      <c r="I84" s="452"/>
      <c r="J84" s="449"/>
      <c r="K84" s="449"/>
      <c r="L84" s="449"/>
      <c r="M84" s="449"/>
      <c r="P84" s="100" t="s">
        <v>151</v>
      </c>
    </row>
    <row r="85" spans="1:16" ht="18.75" thickBot="1">
      <c r="B85" s="4" t="s">
        <v>42</v>
      </c>
      <c r="C85" s="65" t="s">
        <v>91</v>
      </c>
      <c r="D85" s="450"/>
      <c r="E85" s="449"/>
      <c r="F85" s="449"/>
      <c r="G85" s="449"/>
      <c r="H85" s="449"/>
      <c r="I85" s="452"/>
      <c r="J85" s="452"/>
      <c r="K85" s="453"/>
      <c r="L85" s="452"/>
      <c r="M85" s="452"/>
      <c r="N85" s="452"/>
      <c r="O85" s="453"/>
      <c r="P85" s="449"/>
    </row>
    <row r="86" spans="1:16" ht="15.75" thickBot="1">
      <c r="C86" s="247"/>
      <c r="D86" s="450"/>
      <c r="E86" s="449"/>
      <c r="F86" s="449"/>
      <c r="G86" s="449"/>
      <c r="H86" s="449"/>
      <c r="I86" s="452"/>
      <c r="J86" s="452"/>
      <c r="K86" s="453"/>
      <c r="L86" s="101">
        <f>+J92</f>
        <v>2025</v>
      </c>
      <c r="M86" s="478" t="s">
        <v>8</v>
      </c>
      <c r="N86" s="479" t="s">
        <v>153</v>
      </c>
      <c r="O86" s="480" t="s">
        <v>10</v>
      </c>
      <c r="P86" s="449"/>
    </row>
    <row r="87" spans="1:16" ht="15">
      <c r="C87" s="91" t="s">
        <v>44</v>
      </c>
      <c r="D87" s="450"/>
      <c r="E87" s="449"/>
      <c r="F87" s="449"/>
      <c r="G87" s="449"/>
      <c r="H87" s="325"/>
      <c r="I87" s="449" t="s">
        <v>45</v>
      </c>
      <c r="J87" s="449"/>
      <c r="K87" s="105"/>
      <c r="L87" s="481" t="s">
        <v>154</v>
      </c>
      <c r="M87" s="364">
        <f>IF(J92&lt;D11,0,VLOOKUP(J92,C17:O72,9))</f>
        <v>9404.9807754816138</v>
      </c>
      <c r="N87" s="364">
        <f>IF(J92&lt;D11,0,VLOOKUP(J92,C17:O72,11))</f>
        <v>9404.9807754816138</v>
      </c>
      <c r="O87" s="482">
        <f>+N87-M87</f>
        <v>0</v>
      </c>
      <c r="P87" s="449"/>
    </row>
    <row r="88" spans="1:16" ht="15.75">
      <c r="C88" s="6"/>
      <c r="D88" s="450"/>
      <c r="E88" s="449"/>
      <c r="F88" s="449"/>
      <c r="G88" s="449"/>
      <c r="H88" s="449"/>
      <c r="I88" s="327"/>
      <c r="J88" s="327"/>
      <c r="K88" s="365"/>
      <c r="L88" s="483" t="s">
        <v>155</v>
      </c>
      <c r="M88" s="367">
        <f>IF(J92&lt;D11,0,VLOOKUP(J92,C99:P154,6))</f>
        <v>8885.6136355396666</v>
      </c>
      <c r="N88" s="367">
        <f>IF(J92&lt;D11,0,VLOOKUP(J92,C99:P154,7))</f>
        <v>8885.6136355396666</v>
      </c>
      <c r="O88" s="484">
        <f>+N88-M88</f>
        <v>0</v>
      </c>
      <c r="P88" s="449"/>
    </row>
    <row r="89" spans="1:16" ht="13.5" thickBot="1">
      <c r="C89" s="26" t="s">
        <v>92</v>
      </c>
      <c r="D89" s="64" t="str">
        <f>D7</f>
        <v>Pryor Junction 138/115 kV</v>
      </c>
      <c r="E89" s="449"/>
      <c r="F89" s="449"/>
      <c r="G89" s="449"/>
      <c r="H89" s="449"/>
      <c r="I89" s="452"/>
      <c r="J89" s="452"/>
      <c r="K89" s="368"/>
      <c r="L89" s="485" t="s">
        <v>156</v>
      </c>
      <c r="M89" s="369">
        <f>+M88-M87</f>
        <v>-519.36713994194724</v>
      </c>
      <c r="N89" s="369">
        <f>+N88-N87</f>
        <v>-519.36713994194724</v>
      </c>
      <c r="O89" s="370">
        <f>+O88-O87</f>
        <v>0</v>
      </c>
      <c r="P89" s="449"/>
    </row>
    <row r="90" spans="1:16" ht="13.5" thickBot="1">
      <c r="C90" s="30"/>
      <c r="E90" s="465"/>
      <c r="F90" s="465"/>
      <c r="G90" s="465"/>
      <c r="H90" s="457"/>
      <c r="I90" s="452"/>
      <c r="J90" s="452"/>
      <c r="K90" s="453"/>
      <c r="L90" s="452"/>
      <c r="M90" s="452"/>
      <c r="N90" s="452"/>
      <c r="O90" s="453"/>
      <c r="P90" s="449"/>
    </row>
    <row r="91" spans="1:16" ht="13.5" thickBot="1">
      <c r="C91" s="486" t="s">
        <v>93</v>
      </c>
      <c r="D91" s="89" t="str">
        <f>D9</f>
        <v>TP2019132</v>
      </c>
      <c r="E91" s="74" t="str">
        <f>E9</f>
        <v xml:space="preserve">  SPP Project ID = 81571</v>
      </c>
      <c r="F91" s="74"/>
      <c r="G91" s="74"/>
      <c r="H91" s="74"/>
      <c r="I91" s="74"/>
      <c r="J91" s="74"/>
    </row>
    <row r="92" spans="1:16">
      <c r="C92" s="458" t="s">
        <v>226</v>
      </c>
      <c r="D92" s="487">
        <v>70967.7</v>
      </c>
      <c r="E92" s="449" t="s">
        <v>94</v>
      </c>
      <c r="H92" s="450"/>
      <c r="I92" s="450"/>
      <c r="J92" s="36">
        <f>+'PSO.WS.G.BPU.ATRR.True-up'!M16</f>
        <v>2025</v>
      </c>
      <c r="K92" s="34"/>
      <c r="L92" s="453" t="s">
        <v>95</v>
      </c>
      <c r="P92" s="449"/>
    </row>
    <row r="93" spans="1:16">
      <c r="C93" s="459" t="s">
        <v>53</v>
      </c>
      <c r="D93" s="488">
        <f>+D11</f>
        <v>2022</v>
      </c>
      <c r="E93" s="459" t="s">
        <v>54</v>
      </c>
      <c r="F93" s="450"/>
      <c r="G93" s="450"/>
      <c r="J93" s="460">
        <v>0</v>
      </c>
      <c r="K93" s="461"/>
      <c r="L93" t="str">
        <f>"          INPUT TRUE-UP ARR (WITH &amp; WITHOUT INCENTIVES) FROM EACH PRIOR YEAR"</f>
        <v xml:space="preserve">          INPUT TRUE-UP ARR (WITH &amp; WITHOUT INCENTIVES) FROM EACH PRIOR YEAR</v>
      </c>
      <c r="P93" s="449"/>
    </row>
    <row r="94" spans="1:16">
      <c r="C94" s="459" t="s">
        <v>55</v>
      </c>
      <c r="D94" s="488">
        <f>+D12</f>
        <v>6</v>
      </c>
      <c r="E94" s="459" t="s">
        <v>56</v>
      </c>
      <c r="F94" s="450"/>
      <c r="G94" s="450"/>
      <c r="J94" s="462">
        <v>0.10781124580725182</v>
      </c>
      <c r="K94" s="451"/>
      <c r="L94" t="s">
        <v>96</v>
      </c>
      <c r="P94" s="449"/>
    </row>
    <row r="95" spans="1:16">
      <c r="C95" s="459" t="s">
        <v>58</v>
      </c>
      <c r="D95" s="460">
        <v>42</v>
      </c>
      <c r="E95" s="459" t="s">
        <v>59</v>
      </c>
      <c r="F95" s="450"/>
      <c r="G95" s="450"/>
      <c r="J95" s="462">
        <v>0.10781124580725182</v>
      </c>
      <c r="K95" s="451"/>
      <c r="L95" s="453" t="s">
        <v>60</v>
      </c>
      <c r="M95" s="451"/>
      <c r="N95" s="451"/>
      <c r="O95" s="451"/>
      <c r="P95" s="449"/>
    </row>
    <row r="96" spans="1:16" ht="13.5" thickBot="1">
      <c r="C96" s="459" t="s">
        <v>61</v>
      </c>
      <c r="D96" s="489" t="str">
        <f>+D14</f>
        <v>No</v>
      </c>
      <c r="E96" s="490" t="s">
        <v>63</v>
      </c>
      <c r="F96" s="491"/>
      <c r="G96" s="491"/>
      <c r="H96" s="76"/>
      <c r="I96" s="76"/>
      <c r="J96" s="456">
        <f>IF(D92=0,0,ROUND(D92/D95,0))</f>
        <v>1690</v>
      </c>
      <c r="K96" s="453"/>
      <c r="L96" s="453"/>
      <c r="M96" s="453"/>
      <c r="N96" s="453"/>
      <c r="O96" s="453"/>
      <c r="P96" s="449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464">
        <f>IF(D93= "","-",D93)</f>
        <v>2022</v>
      </c>
      <c r="D99" s="115">
        <v>0</v>
      </c>
      <c r="E99" s="115">
        <v>0</v>
      </c>
      <c r="F99" s="115">
        <v>70968</v>
      </c>
      <c r="G99" s="115">
        <v>35484</v>
      </c>
      <c r="H99" s="115">
        <v>3825.5742462245234</v>
      </c>
      <c r="I99" s="115">
        <v>3825.5742462245234</v>
      </c>
      <c r="J99" s="446">
        <f>+I99-H99</f>
        <v>0</v>
      </c>
      <c r="K99" s="446"/>
      <c r="L99" s="469">
        <f>+H99</f>
        <v>3825.5742462245234</v>
      </c>
      <c r="M99" s="469">
        <f t="shared" ref="M99:M130" si="16">IF(L99&lt;&gt;0,+H99-L99,0)</f>
        <v>0</v>
      </c>
      <c r="N99" s="469">
        <f>+I99</f>
        <v>3825.5742462245234</v>
      </c>
      <c r="O99" s="469">
        <f t="shared" ref="O99:O130" si="17">IF(N99&lt;&gt;0,+I99-N99,0)</f>
        <v>0</v>
      </c>
      <c r="P99" s="469">
        <f t="shared" ref="P99:P130" si="18">+O99-M99</f>
        <v>0</v>
      </c>
    </row>
    <row r="100" spans="1:16">
      <c r="B100" s="7" t="str">
        <f>IF(D100=F99,"","IU")</f>
        <v>IU</v>
      </c>
      <c r="C100" s="464">
        <f>IF(D93="","-",+C99+1)</f>
        <v>2023</v>
      </c>
      <c r="D100" s="115">
        <v>70967.7</v>
      </c>
      <c r="E100" s="115">
        <v>1690</v>
      </c>
      <c r="F100" s="115">
        <v>69277.7</v>
      </c>
      <c r="G100" s="115">
        <v>70122.7</v>
      </c>
      <c r="H100" s="115">
        <v>9250.0156463681778</v>
      </c>
      <c r="I100" s="115">
        <v>9250.0156463681778</v>
      </c>
      <c r="J100" s="446">
        <f t="shared" ref="J100:J130" si="19">+I100-H100</f>
        <v>0</v>
      </c>
      <c r="K100" s="446"/>
      <c r="L100" s="446">
        <f>+H100</f>
        <v>9250.0156463681778</v>
      </c>
      <c r="M100" s="446">
        <f t="shared" ref="M100" si="20">IF(L100&lt;&gt;0,+H100-L100,0)</f>
        <v>0</v>
      </c>
      <c r="N100" s="446">
        <f>+I100</f>
        <v>9250.0156463681778</v>
      </c>
      <c r="O100" s="446">
        <f t="shared" ref="O100" si="21">IF(N100&lt;&gt;0,+I100-N100,0)</f>
        <v>0</v>
      </c>
      <c r="P100" s="446">
        <f t="shared" ref="P100" si="22">+O100-M100</f>
        <v>0</v>
      </c>
    </row>
    <row r="101" spans="1:16">
      <c r="B101" s="7" t="str">
        <f t="shared" ref="B101:B154" si="23">IF(D101=F100,"","IU")</f>
        <v/>
      </c>
      <c r="C101" s="464">
        <f>IF(D93="","-",+C100+1)</f>
        <v>2024</v>
      </c>
      <c r="D101" s="115">
        <v>69277.7</v>
      </c>
      <c r="E101" s="115">
        <v>1690</v>
      </c>
      <c r="F101" s="115">
        <v>67587.7</v>
      </c>
      <c r="G101" s="115">
        <v>68432.7</v>
      </c>
      <c r="H101" s="115">
        <v>9067.8146409539222</v>
      </c>
      <c r="I101" s="115">
        <v>9067.8146409539222</v>
      </c>
      <c r="J101" s="446">
        <f t="shared" si="19"/>
        <v>0</v>
      </c>
      <c r="K101" s="446"/>
      <c r="L101" s="446">
        <f>+H101</f>
        <v>9067.8146409539222</v>
      </c>
      <c r="M101" s="446">
        <f t="shared" ref="M101" si="24">IF(L101&lt;&gt;0,+H101-L101,0)</f>
        <v>0</v>
      </c>
      <c r="N101" s="446">
        <f>+I101</f>
        <v>9067.8146409539222</v>
      </c>
      <c r="O101" s="446">
        <f t="shared" ref="O101" si="25">IF(N101&lt;&gt;0,+I101-N101,0)</f>
        <v>0</v>
      </c>
      <c r="P101" s="446">
        <f t="shared" ref="P101" si="26">+O101-M101</f>
        <v>0</v>
      </c>
    </row>
    <row r="102" spans="1:16">
      <c r="B102" s="7" t="str">
        <f t="shared" si="23"/>
        <v/>
      </c>
      <c r="C102" s="464">
        <f>IF(D93="","-",+C101+1)</f>
        <v>2025</v>
      </c>
      <c r="D102" s="465">
        <f>IF(F101+SUM(E$99:E101)=D$92,F101,D$92-SUM(E$99:E101))</f>
        <v>67587.7</v>
      </c>
      <c r="E102" s="56">
        <f t="shared" ref="E102:E154" si="27">IF(+J$96&lt;F101,J$96,D102)</f>
        <v>1690</v>
      </c>
      <c r="F102" s="466">
        <f t="shared" ref="F102:F154" si="28">+D102-E102</f>
        <v>65897.7</v>
      </c>
      <c r="G102" s="466">
        <f t="shared" ref="G102:G154" si="29">+(F102+D102)/2</f>
        <v>66742.7</v>
      </c>
      <c r="H102" s="113">
        <f t="shared" ref="H102:H154" si="30">+J$94*G102+E102</f>
        <v>8885.6136355396666</v>
      </c>
      <c r="I102" s="122">
        <f t="shared" ref="I102:I154" si="31">+J$95*G102+E102</f>
        <v>8885.6136355396666</v>
      </c>
      <c r="J102" s="446">
        <f t="shared" si="19"/>
        <v>0</v>
      </c>
      <c r="K102" s="446"/>
      <c r="L102" s="115"/>
      <c r="M102" s="446">
        <f t="shared" si="16"/>
        <v>0</v>
      </c>
      <c r="N102" s="115"/>
      <c r="O102" s="446">
        <f t="shared" si="17"/>
        <v>0</v>
      </c>
      <c r="P102" s="446">
        <f t="shared" si="18"/>
        <v>0</v>
      </c>
    </row>
    <row r="103" spans="1:16">
      <c r="B103" s="7" t="str">
        <f t="shared" si="23"/>
        <v/>
      </c>
      <c r="C103" s="464">
        <f>IF(D93="","-",+C102+1)</f>
        <v>2026</v>
      </c>
      <c r="D103" s="465">
        <f>IF(F102+SUM(E$99:E102)=D$92,F102,D$92-SUM(E$99:E102))</f>
        <v>65897.7</v>
      </c>
      <c r="E103" s="56">
        <f t="shared" si="27"/>
        <v>1690</v>
      </c>
      <c r="F103" s="466">
        <f t="shared" si="28"/>
        <v>64207.7</v>
      </c>
      <c r="G103" s="466">
        <f t="shared" si="29"/>
        <v>65052.7</v>
      </c>
      <c r="H103" s="113">
        <f t="shared" si="30"/>
        <v>8703.4126301254109</v>
      </c>
      <c r="I103" s="122">
        <f t="shared" si="31"/>
        <v>8703.4126301254109</v>
      </c>
      <c r="J103" s="446">
        <f t="shared" si="19"/>
        <v>0</v>
      </c>
      <c r="K103" s="446"/>
      <c r="L103" s="115"/>
      <c r="M103" s="446">
        <f t="shared" si="16"/>
        <v>0</v>
      </c>
      <c r="N103" s="115"/>
      <c r="O103" s="446">
        <f t="shared" si="17"/>
        <v>0</v>
      </c>
      <c r="P103" s="446">
        <f t="shared" si="18"/>
        <v>0</v>
      </c>
    </row>
    <row r="104" spans="1:16">
      <c r="B104" s="7" t="str">
        <f t="shared" si="23"/>
        <v/>
      </c>
      <c r="C104" s="464">
        <f>IF(D93="","-",+C103+1)</f>
        <v>2027</v>
      </c>
      <c r="D104" s="465">
        <f>IF(F103+SUM(E$99:E103)=D$92,F103,D$92-SUM(E$99:E103))</f>
        <v>64207.7</v>
      </c>
      <c r="E104" s="56">
        <f t="shared" si="27"/>
        <v>1690</v>
      </c>
      <c r="F104" s="466">
        <f t="shared" si="28"/>
        <v>62517.7</v>
      </c>
      <c r="G104" s="466">
        <f t="shared" si="29"/>
        <v>63362.7</v>
      </c>
      <c r="H104" s="113">
        <f t="shared" si="30"/>
        <v>8521.2116247111553</v>
      </c>
      <c r="I104" s="122">
        <f t="shared" si="31"/>
        <v>8521.2116247111553</v>
      </c>
      <c r="J104" s="446">
        <f t="shared" si="19"/>
        <v>0</v>
      </c>
      <c r="K104" s="446"/>
      <c r="L104" s="115"/>
      <c r="M104" s="446">
        <f t="shared" si="16"/>
        <v>0</v>
      </c>
      <c r="N104" s="115"/>
      <c r="O104" s="446">
        <f t="shared" si="17"/>
        <v>0</v>
      </c>
      <c r="P104" s="446">
        <f t="shared" si="18"/>
        <v>0</v>
      </c>
    </row>
    <row r="105" spans="1:16">
      <c r="B105" s="7" t="str">
        <f t="shared" si="23"/>
        <v/>
      </c>
      <c r="C105" s="464">
        <f>IF(D93="","-",+C104+1)</f>
        <v>2028</v>
      </c>
      <c r="D105" s="465">
        <f>IF(F104+SUM(E$99:E104)=D$92,F104,D$92-SUM(E$99:E104))</f>
        <v>62517.7</v>
      </c>
      <c r="E105" s="56">
        <f t="shared" si="27"/>
        <v>1690</v>
      </c>
      <c r="F105" s="466">
        <f t="shared" si="28"/>
        <v>60827.7</v>
      </c>
      <c r="G105" s="466">
        <f t="shared" si="29"/>
        <v>61672.7</v>
      </c>
      <c r="H105" s="113">
        <f t="shared" si="30"/>
        <v>8339.0106192968997</v>
      </c>
      <c r="I105" s="122">
        <f t="shared" si="31"/>
        <v>8339.0106192968997</v>
      </c>
      <c r="J105" s="446">
        <f t="shared" si="19"/>
        <v>0</v>
      </c>
      <c r="K105" s="446"/>
      <c r="L105" s="115"/>
      <c r="M105" s="446">
        <f t="shared" si="16"/>
        <v>0</v>
      </c>
      <c r="N105" s="115"/>
      <c r="O105" s="446">
        <f t="shared" si="17"/>
        <v>0</v>
      </c>
      <c r="P105" s="446">
        <f t="shared" si="18"/>
        <v>0</v>
      </c>
    </row>
    <row r="106" spans="1:16">
      <c r="B106" s="7" t="str">
        <f t="shared" si="23"/>
        <v/>
      </c>
      <c r="C106" s="464">
        <f>IF(D93="","-",+C105+1)</f>
        <v>2029</v>
      </c>
      <c r="D106" s="465">
        <f>IF(F105+SUM(E$99:E105)=D$92,F105,D$92-SUM(E$99:E105))</f>
        <v>60827.7</v>
      </c>
      <c r="E106" s="56">
        <f t="shared" si="27"/>
        <v>1690</v>
      </c>
      <c r="F106" s="466">
        <f t="shared" si="28"/>
        <v>59137.7</v>
      </c>
      <c r="G106" s="466">
        <f t="shared" si="29"/>
        <v>59982.7</v>
      </c>
      <c r="H106" s="113">
        <f t="shared" si="30"/>
        <v>8156.8096138826431</v>
      </c>
      <c r="I106" s="122">
        <f t="shared" si="31"/>
        <v>8156.8096138826431</v>
      </c>
      <c r="J106" s="446">
        <f t="shared" si="19"/>
        <v>0</v>
      </c>
      <c r="K106" s="446"/>
      <c r="L106" s="115"/>
      <c r="M106" s="446">
        <f t="shared" si="16"/>
        <v>0</v>
      </c>
      <c r="N106" s="115"/>
      <c r="O106" s="446">
        <f t="shared" si="17"/>
        <v>0</v>
      </c>
      <c r="P106" s="446">
        <f t="shared" si="18"/>
        <v>0</v>
      </c>
    </row>
    <row r="107" spans="1:16">
      <c r="B107" s="7" t="str">
        <f t="shared" si="23"/>
        <v/>
      </c>
      <c r="C107" s="464">
        <f>IF(D93="","-",+C106+1)</f>
        <v>2030</v>
      </c>
      <c r="D107" s="465">
        <f>IF(F106+SUM(E$99:E106)=D$92,F106,D$92-SUM(E$99:E106))</f>
        <v>59137.7</v>
      </c>
      <c r="E107" s="56">
        <f t="shared" si="27"/>
        <v>1690</v>
      </c>
      <c r="F107" s="466">
        <f t="shared" si="28"/>
        <v>57447.7</v>
      </c>
      <c r="G107" s="466">
        <f t="shared" si="29"/>
        <v>58292.7</v>
      </c>
      <c r="H107" s="113">
        <f t="shared" si="30"/>
        <v>7974.6086084683875</v>
      </c>
      <c r="I107" s="122">
        <f t="shared" si="31"/>
        <v>7974.6086084683875</v>
      </c>
      <c r="J107" s="446">
        <f t="shared" si="19"/>
        <v>0</v>
      </c>
      <c r="K107" s="446"/>
      <c r="L107" s="115"/>
      <c r="M107" s="446">
        <f t="shared" si="16"/>
        <v>0</v>
      </c>
      <c r="N107" s="115"/>
      <c r="O107" s="446">
        <f t="shared" si="17"/>
        <v>0</v>
      </c>
      <c r="P107" s="446">
        <f t="shared" si="18"/>
        <v>0</v>
      </c>
    </row>
    <row r="108" spans="1:16">
      <c r="B108" s="7" t="str">
        <f t="shared" si="23"/>
        <v/>
      </c>
      <c r="C108" s="464">
        <f>IF(D93="","-",+C107+1)</f>
        <v>2031</v>
      </c>
      <c r="D108" s="465">
        <f>IF(F107+SUM(E$99:E107)=D$92,F107,D$92-SUM(E$99:E107))</f>
        <v>57447.7</v>
      </c>
      <c r="E108" s="56">
        <f t="shared" si="27"/>
        <v>1690</v>
      </c>
      <c r="F108" s="466">
        <f t="shared" si="28"/>
        <v>55757.7</v>
      </c>
      <c r="G108" s="466">
        <f t="shared" si="29"/>
        <v>56602.7</v>
      </c>
      <c r="H108" s="113">
        <f t="shared" si="30"/>
        <v>7792.4076030541328</v>
      </c>
      <c r="I108" s="122">
        <f t="shared" si="31"/>
        <v>7792.4076030541328</v>
      </c>
      <c r="J108" s="446">
        <f t="shared" si="19"/>
        <v>0</v>
      </c>
      <c r="K108" s="446"/>
      <c r="L108" s="115"/>
      <c r="M108" s="446">
        <f t="shared" si="16"/>
        <v>0</v>
      </c>
      <c r="N108" s="115"/>
      <c r="O108" s="446">
        <f t="shared" si="17"/>
        <v>0</v>
      </c>
      <c r="P108" s="446">
        <f t="shared" si="18"/>
        <v>0</v>
      </c>
    </row>
    <row r="109" spans="1:16">
      <c r="B109" s="7" t="str">
        <f t="shared" si="23"/>
        <v/>
      </c>
      <c r="C109" s="464">
        <f>IF(D93="","-",+C108+1)</f>
        <v>2032</v>
      </c>
      <c r="D109" s="465">
        <f>IF(F108+SUM(E$99:E108)=D$92,F108,D$92-SUM(E$99:E108))</f>
        <v>55757.7</v>
      </c>
      <c r="E109" s="56">
        <f t="shared" si="27"/>
        <v>1690</v>
      </c>
      <c r="F109" s="466">
        <f t="shared" si="28"/>
        <v>54067.7</v>
      </c>
      <c r="G109" s="466">
        <f t="shared" si="29"/>
        <v>54912.7</v>
      </c>
      <c r="H109" s="113">
        <f t="shared" si="30"/>
        <v>7610.2065976398771</v>
      </c>
      <c r="I109" s="122">
        <f t="shared" si="31"/>
        <v>7610.2065976398771</v>
      </c>
      <c r="J109" s="446">
        <f t="shared" si="19"/>
        <v>0</v>
      </c>
      <c r="K109" s="446"/>
      <c r="L109" s="115"/>
      <c r="M109" s="446">
        <f t="shared" si="16"/>
        <v>0</v>
      </c>
      <c r="N109" s="115"/>
      <c r="O109" s="446">
        <f t="shared" si="17"/>
        <v>0</v>
      </c>
      <c r="P109" s="446">
        <f t="shared" si="18"/>
        <v>0</v>
      </c>
    </row>
    <row r="110" spans="1:16">
      <c r="B110" s="7" t="str">
        <f t="shared" si="23"/>
        <v/>
      </c>
      <c r="C110" s="464">
        <f>IF(D93="","-",+C109+1)</f>
        <v>2033</v>
      </c>
      <c r="D110" s="465">
        <f>IF(F109+SUM(E$99:E109)=D$92,F109,D$92-SUM(E$99:E109))</f>
        <v>54067.7</v>
      </c>
      <c r="E110" s="56">
        <f t="shared" si="27"/>
        <v>1690</v>
      </c>
      <c r="F110" s="466">
        <f t="shared" si="28"/>
        <v>52377.7</v>
      </c>
      <c r="G110" s="466">
        <f t="shared" si="29"/>
        <v>53222.7</v>
      </c>
      <c r="H110" s="113">
        <f t="shared" si="30"/>
        <v>7428.0055922256215</v>
      </c>
      <c r="I110" s="122">
        <f t="shared" si="31"/>
        <v>7428.0055922256215</v>
      </c>
      <c r="J110" s="446">
        <f t="shared" si="19"/>
        <v>0</v>
      </c>
      <c r="K110" s="446"/>
      <c r="L110" s="115"/>
      <c r="M110" s="446">
        <f t="shared" si="16"/>
        <v>0</v>
      </c>
      <c r="N110" s="115"/>
      <c r="O110" s="446">
        <f t="shared" si="17"/>
        <v>0</v>
      </c>
      <c r="P110" s="446">
        <f t="shared" si="18"/>
        <v>0</v>
      </c>
    </row>
    <row r="111" spans="1:16">
      <c r="B111" s="7" t="str">
        <f t="shared" si="23"/>
        <v/>
      </c>
      <c r="C111" s="464">
        <f>IF(D93="","-",+C110+1)</f>
        <v>2034</v>
      </c>
      <c r="D111" s="465">
        <f>IF(F110+SUM(E$99:E110)=D$92,F110,D$92-SUM(E$99:E110))</f>
        <v>52377.7</v>
      </c>
      <c r="E111" s="56">
        <f t="shared" si="27"/>
        <v>1690</v>
      </c>
      <c r="F111" s="466">
        <f t="shared" si="28"/>
        <v>50687.7</v>
      </c>
      <c r="G111" s="466">
        <f t="shared" si="29"/>
        <v>51532.7</v>
      </c>
      <c r="H111" s="113">
        <f t="shared" si="30"/>
        <v>7245.8045868113659</v>
      </c>
      <c r="I111" s="122">
        <f t="shared" si="31"/>
        <v>7245.8045868113659</v>
      </c>
      <c r="J111" s="446">
        <f t="shared" si="19"/>
        <v>0</v>
      </c>
      <c r="K111" s="446"/>
      <c r="L111" s="115"/>
      <c r="M111" s="446">
        <f t="shared" si="16"/>
        <v>0</v>
      </c>
      <c r="N111" s="115"/>
      <c r="O111" s="446">
        <f t="shared" si="17"/>
        <v>0</v>
      </c>
      <c r="P111" s="446">
        <f t="shared" si="18"/>
        <v>0</v>
      </c>
    </row>
    <row r="112" spans="1:16">
      <c r="B112" s="7" t="str">
        <f t="shared" si="23"/>
        <v/>
      </c>
      <c r="C112" s="464">
        <f>IF(D93="","-",+C111+1)</f>
        <v>2035</v>
      </c>
      <c r="D112" s="465">
        <f>IF(F111+SUM(E$99:E111)=D$92,F111,D$92-SUM(E$99:E111))</f>
        <v>50687.7</v>
      </c>
      <c r="E112" s="56">
        <f t="shared" si="27"/>
        <v>1690</v>
      </c>
      <c r="F112" s="466">
        <f t="shared" si="28"/>
        <v>48997.7</v>
      </c>
      <c r="G112" s="466">
        <f t="shared" si="29"/>
        <v>49842.7</v>
      </c>
      <c r="H112" s="113">
        <f t="shared" si="30"/>
        <v>7063.6035813971102</v>
      </c>
      <c r="I112" s="122">
        <f t="shared" si="31"/>
        <v>7063.6035813971102</v>
      </c>
      <c r="J112" s="446">
        <f t="shared" si="19"/>
        <v>0</v>
      </c>
      <c r="K112" s="446"/>
      <c r="L112" s="115"/>
      <c r="M112" s="446">
        <f t="shared" si="16"/>
        <v>0</v>
      </c>
      <c r="N112" s="115"/>
      <c r="O112" s="446">
        <f t="shared" si="17"/>
        <v>0</v>
      </c>
      <c r="P112" s="446">
        <f t="shared" si="18"/>
        <v>0</v>
      </c>
    </row>
    <row r="113" spans="2:16">
      <c r="B113" s="7" t="str">
        <f t="shared" si="23"/>
        <v/>
      </c>
      <c r="C113" s="464">
        <f>IF(D93="","-",+C112+1)</f>
        <v>2036</v>
      </c>
      <c r="D113" s="465">
        <f>IF(F112+SUM(E$99:E112)=D$92,F112,D$92-SUM(E$99:E112))</f>
        <v>48997.7</v>
      </c>
      <c r="E113" s="56">
        <f t="shared" si="27"/>
        <v>1690</v>
      </c>
      <c r="F113" s="466">
        <f t="shared" si="28"/>
        <v>47307.7</v>
      </c>
      <c r="G113" s="466">
        <f t="shared" si="29"/>
        <v>48152.7</v>
      </c>
      <c r="H113" s="113">
        <f t="shared" si="30"/>
        <v>6881.4025759828546</v>
      </c>
      <c r="I113" s="122">
        <f t="shared" si="31"/>
        <v>6881.4025759828546</v>
      </c>
      <c r="J113" s="446">
        <f t="shared" si="19"/>
        <v>0</v>
      </c>
      <c r="K113" s="446"/>
      <c r="L113" s="115"/>
      <c r="M113" s="446">
        <f t="shared" si="16"/>
        <v>0</v>
      </c>
      <c r="N113" s="115"/>
      <c r="O113" s="446">
        <f t="shared" si="17"/>
        <v>0</v>
      </c>
      <c r="P113" s="446">
        <f t="shared" si="18"/>
        <v>0</v>
      </c>
    </row>
    <row r="114" spans="2:16">
      <c r="B114" s="7" t="str">
        <f t="shared" si="23"/>
        <v/>
      </c>
      <c r="C114" s="464">
        <f>IF(D93="","-",+C113+1)</f>
        <v>2037</v>
      </c>
      <c r="D114" s="465">
        <f>IF(F113+SUM(E$99:E113)=D$92,F113,D$92-SUM(E$99:E113))</f>
        <v>47307.7</v>
      </c>
      <c r="E114" s="56">
        <f t="shared" si="27"/>
        <v>1690</v>
      </c>
      <c r="F114" s="466">
        <f t="shared" si="28"/>
        <v>45617.7</v>
      </c>
      <c r="G114" s="466">
        <f t="shared" si="29"/>
        <v>46462.7</v>
      </c>
      <c r="H114" s="113">
        <f t="shared" si="30"/>
        <v>6699.201570568599</v>
      </c>
      <c r="I114" s="122">
        <f t="shared" si="31"/>
        <v>6699.201570568599</v>
      </c>
      <c r="J114" s="446">
        <f t="shared" si="19"/>
        <v>0</v>
      </c>
      <c r="K114" s="446"/>
      <c r="L114" s="115"/>
      <c r="M114" s="446">
        <f t="shared" si="16"/>
        <v>0</v>
      </c>
      <c r="N114" s="115"/>
      <c r="O114" s="446">
        <f t="shared" si="17"/>
        <v>0</v>
      </c>
      <c r="P114" s="446">
        <f t="shared" si="18"/>
        <v>0</v>
      </c>
    </row>
    <row r="115" spans="2:16">
      <c r="B115" s="7" t="str">
        <f t="shared" si="23"/>
        <v/>
      </c>
      <c r="C115" s="464">
        <f>IF(D93="","-",+C114+1)</f>
        <v>2038</v>
      </c>
      <c r="D115" s="465">
        <f>IF(F114+SUM(E$99:E114)=D$92,F114,D$92-SUM(E$99:E114))</f>
        <v>45617.7</v>
      </c>
      <c r="E115" s="56">
        <f t="shared" si="27"/>
        <v>1690</v>
      </c>
      <c r="F115" s="466">
        <f t="shared" si="28"/>
        <v>43927.7</v>
      </c>
      <c r="G115" s="466">
        <f t="shared" si="29"/>
        <v>44772.7</v>
      </c>
      <c r="H115" s="113">
        <f t="shared" si="30"/>
        <v>6517.0005651543433</v>
      </c>
      <c r="I115" s="122">
        <f t="shared" si="31"/>
        <v>6517.0005651543433</v>
      </c>
      <c r="J115" s="446">
        <f t="shared" si="19"/>
        <v>0</v>
      </c>
      <c r="K115" s="446"/>
      <c r="L115" s="115"/>
      <c r="M115" s="446">
        <f t="shared" si="16"/>
        <v>0</v>
      </c>
      <c r="N115" s="115"/>
      <c r="O115" s="446">
        <f t="shared" si="17"/>
        <v>0</v>
      </c>
      <c r="P115" s="446">
        <f t="shared" si="18"/>
        <v>0</v>
      </c>
    </row>
    <row r="116" spans="2:16">
      <c r="B116" s="7" t="str">
        <f t="shared" si="23"/>
        <v/>
      </c>
      <c r="C116" s="464">
        <f>IF(D93="","-",+C115+1)</f>
        <v>2039</v>
      </c>
      <c r="D116" s="465">
        <f>IF(F115+SUM(E$99:E115)=D$92,F115,D$92-SUM(E$99:E115))</f>
        <v>43927.7</v>
      </c>
      <c r="E116" s="56">
        <f t="shared" si="27"/>
        <v>1690</v>
      </c>
      <c r="F116" s="466">
        <f t="shared" si="28"/>
        <v>42237.7</v>
      </c>
      <c r="G116" s="466">
        <f t="shared" si="29"/>
        <v>43082.7</v>
      </c>
      <c r="H116" s="113">
        <f t="shared" si="30"/>
        <v>6334.7995597400877</v>
      </c>
      <c r="I116" s="122">
        <f t="shared" si="31"/>
        <v>6334.7995597400877</v>
      </c>
      <c r="J116" s="446">
        <f t="shared" si="19"/>
        <v>0</v>
      </c>
      <c r="K116" s="446"/>
      <c r="L116" s="115"/>
      <c r="M116" s="446">
        <f t="shared" si="16"/>
        <v>0</v>
      </c>
      <c r="N116" s="115"/>
      <c r="O116" s="446">
        <f t="shared" si="17"/>
        <v>0</v>
      </c>
      <c r="P116" s="446">
        <f t="shared" si="18"/>
        <v>0</v>
      </c>
    </row>
    <row r="117" spans="2:16">
      <c r="B117" s="7" t="str">
        <f t="shared" si="23"/>
        <v/>
      </c>
      <c r="C117" s="464">
        <f>IF(D93="","-",+C116+1)</f>
        <v>2040</v>
      </c>
      <c r="D117" s="465">
        <f>IF(F116+SUM(E$99:E116)=D$92,F116,D$92-SUM(E$99:E116))</f>
        <v>42237.7</v>
      </c>
      <c r="E117" s="56">
        <f t="shared" si="27"/>
        <v>1690</v>
      </c>
      <c r="F117" s="466">
        <f t="shared" si="28"/>
        <v>40547.699999999997</v>
      </c>
      <c r="G117" s="466">
        <f t="shared" si="29"/>
        <v>41392.699999999997</v>
      </c>
      <c r="H117" s="113">
        <f t="shared" si="30"/>
        <v>6152.5985543258321</v>
      </c>
      <c r="I117" s="122">
        <f t="shared" si="31"/>
        <v>6152.5985543258321</v>
      </c>
      <c r="J117" s="446">
        <f t="shared" si="19"/>
        <v>0</v>
      </c>
      <c r="K117" s="446"/>
      <c r="L117" s="115"/>
      <c r="M117" s="446">
        <f t="shared" si="16"/>
        <v>0</v>
      </c>
      <c r="N117" s="115"/>
      <c r="O117" s="446">
        <f t="shared" si="17"/>
        <v>0</v>
      </c>
      <c r="P117" s="446">
        <f t="shared" si="18"/>
        <v>0</v>
      </c>
    </row>
    <row r="118" spans="2:16">
      <c r="B118" s="7" t="str">
        <f t="shared" si="23"/>
        <v/>
      </c>
      <c r="C118" s="464">
        <f>IF(D93="","-",+C117+1)</f>
        <v>2041</v>
      </c>
      <c r="D118" s="465">
        <f>IF(F117+SUM(E$99:E117)=D$92,F117,D$92-SUM(E$99:E117))</f>
        <v>40547.699999999997</v>
      </c>
      <c r="E118" s="56">
        <f t="shared" si="27"/>
        <v>1690</v>
      </c>
      <c r="F118" s="466">
        <f t="shared" si="28"/>
        <v>38857.699999999997</v>
      </c>
      <c r="G118" s="466">
        <f t="shared" si="29"/>
        <v>39702.699999999997</v>
      </c>
      <c r="H118" s="113">
        <f t="shared" si="30"/>
        <v>5970.3975489115765</v>
      </c>
      <c r="I118" s="122">
        <f t="shared" si="31"/>
        <v>5970.3975489115765</v>
      </c>
      <c r="J118" s="446">
        <f t="shared" si="19"/>
        <v>0</v>
      </c>
      <c r="K118" s="446"/>
      <c r="L118" s="115"/>
      <c r="M118" s="446">
        <f t="shared" si="16"/>
        <v>0</v>
      </c>
      <c r="N118" s="115"/>
      <c r="O118" s="446">
        <f t="shared" si="17"/>
        <v>0</v>
      </c>
      <c r="P118" s="446">
        <f t="shared" si="18"/>
        <v>0</v>
      </c>
    </row>
    <row r="119" spans="2:16">
      <c r="B119" s="7" t="str">
        <f t="shared" si="23"/>
        <v/>
      </c>
      <c r="C119" s="464">
        <f>IF(D93="","-",+C118+1)</f>
        <v>2042</v>
      </c>
      <c r="D119" s="465">
        <f>IF(F118+SUM(E$99:E118)=D$92,F118,D$92-SUM(E$99:E118))</f>
        <v>38857.699999999997</v>
      </c>
      <c r="E119" s="56">
        <f t="shared" si="27"/>
        <v>1690</v>
      </c>
      <c r="F119" s="466">
        <f t="shared" si="28"/>
        <v>37167.699999999997</v>
      </c>
      <c r="G119" s="466">
        <f t="shared" si="29"/>
        <v>38012.699999999997</v>
      </c>
      <c r="H119" s="113">
        <f t="shared" si="30"/>
        <v>5788.1965434973208</v>
      </c>
      <c r="I119" s="122">
        <f t="shared" si="31"/>
        <v>5788.1965434973208</v>
      </c>
      <c r="J119" s="446">
        <f t="shared" si="19"/>
        <v>0</v>
      </c>
      <c r="K119" s="446"/>
      <c r="L119" s="115"/>
      <c r="M119" s="446">
        <f t="shared" si="16"/>
        <v>0</v>
      </c>
      <c r="N119" s="115"/>
      <c r="O119" s="446">
        <f t="shared" si="17"/>
        <v>0</v>
      </c>
      <c r="P119" s="446">
        <f t="shared" si="18"/>
        <v>0</v>
      </c>
    </row>
    <row r="120" spans="2:16">
      <c r="B120" s="7" t="str">
        <f t="shared" si="23"/>
        <v/>
      </c>
      <c r="C120" s="464">
        <f>IF(D93="","-",+C119+1)</f>
        <v>2043</v>
      </c>
      <c r="D120" s="465">
        <f>IF(F119+SUM(E$99:E119)=D$92,F119,D$92-SUM(E$99:E119))</f>
        <v>37167.699999999997</v>
      </c>
      <c r="E120" s="56">
        <f t="shared" si="27"/>
        <v>1690</v>
      </c>
      <c r="F120" s="466">
        <f t="shared" si="28"/>
        <v>35477.699999999997</v>
      </c>
      <c r="G120" s="466">
        <f t="shared" si="29"/>
        <v>36322.699999999997</v>
      </c>
      <c r="H120" s="113">
        <f t="shared" si="30"/>
        <v>5605.9955380830652</v>
      </c>
      <c r="I120" s="122">
        <f t="shared" si="31"/>
        <v>5605.9955380830652</v>
      </c>
      <c r="J120" s="446">
        <f t="shared" si="19"/>
        <v>0</v>
      </c>
      <c r="K120" s="446"/>
      <c r="L120" s="115"/>
      <c r="M120" s="446">
        <f t="shared" si="16"/>
        <v>0</v>
      </c>
      <c r="N120" s="115"/>
      <c r="O120" s="446">
        <f t="shared" si="17"/>
        <v>0</v>
      </c>
      <c r="P120" s="446">
        <f t="shared" si="18"/>
        <v>0</v>
      </c>
    </row>
    <row r="121" spans="2:16">
      <c r="B121" s="7" t="str">
        <f t="shared" si="23"/>
        <v/>
      </c>
      <c r="C121" s="464">
        <f>IF(D93="","-",+C120+1)</f>
        <v>2044</v>
      </c>
      <c r="D121" s="465">
        <f>IF(F120+SUM(E$99:E120)=D$92,F120,D$92-SUM(E$99:E120))</f>
        <v>35477.699999999997</v>
      </c>
      <c r="E121" s="56">
        <f t="shared" si="27"/>
        <v>1690</v>
      </c>
      <c r="F121" s="466">
        <f t="shared" si="28"/>
        <v>33787.699999999997</v>
      </c>
      <c r="G121" s="466">
        <f t="shared" si="29"/>
        <v>34632.699999999997</v>
      </c>
      <c r="H121" s="113">
        <f t="shared" si="30"/>
        <v>5423.7945326688096</v>
      </c>
      <c r="I121" s="122">
        <f t="shared" si="31"/>
        <v>5423.7945326688096</v>
      </c>
      <c r="J121" s="446">
        <f t="shared" si="19"/>
        <v>0</v>
      </c>
      <c r="K121" s="446"/>
      <c r="L121" s="115"/>
      <c r="M121" s="446">
        <f t="shared" si="16"/>
        <v>0</v>
      </c>
      <c r="N121" s="115"/>
      <c r="O121" s="446">
        <f t="shared" si="17"/>
        <v>0</v>
      </c>
      <c r="P121" s="446">
        <f t="shared" si="18"/>
        <v>0</v>
      </c>
    </row>
    <row r="122" spans="2:16">
      <c r="B122" s="7" t="str">
        <f t="shared" si="23"/>
        <v/>
      </c>
      <c r="C122" s="464">
        <f>IF(D93="","-",+C121+1)</f>
        <v>2045</v>
      </c>
      <c r="D122" s="465">
        <f>IF(F121+SUM(E$99:E121)=D$92,F121,D$92-SUM(E$99:E121))</f>
        <v>33787.699999999997</v>
      </c>
      <c r="E122" s="56">
        <f t="shared" si="27"/>
        <v>1690</v>
      </c>
      <c r="F122" s="466">
        <f t="shared" si="28"/>
        <v>32097.699999999997</v>
      </c>
      <c r="G122" s="466">
        <f t="shared" si="29"/>
        <v>32942.699999999997</v>
      </c>
      <c r="H122" s="113">
        <f t="shared" si="30"/>
        <v>5241.5935272545539</v>
      </c>
      <c r="I122" s="122">
        <f t="shared" si="31"/>
        <v>5241.5935272545539</v>
      </c>
      <c r="J122" s="446">
        <f t="shared" si="19"/>
        <v>0</v>
      </c>
      <c r="K122" s="446"/>
      <c r="L122" s="115"/>
      <c r="M122" s="446">
        <f t="shared" si="16"/>
        <v>0</v>
      </c>
      <c r="N122" s="115"/>
      <c r="O122" s="446">
        <f t="shared" si="17"/>
        <v>0</v>
      </c>
      <c r="P122" s="446">
        <f t="shared" si="18"/>
        <v>0</v>
      </c>
    </row>
    <row r="123" spans="2:16">
      <c r="B123" s="7" t="str">
        <f t="shared" si="23"/>
        <v/>
      </c>
      <c r="C123" s="464">
        <f>IF(D93="","-",+C122+1)</f>
        <v>2046</v>
      </c>
      <c r="D123" s="465">
        <f>IF(F122+SUM(E$99:E122)=D$92,F122,D$92-SUM(E$99:E122))</f>
        <v>32097.699999999997</v>
      </c>
      <c r="E123" s="56">
        <f t="shared" si="27"/>
        <v>1690</v>
      </c>
      <c r="F123" s="466">
        <f t="shared" si="28"/>
        <v>30407.699999999997</v>
      </c>
      <c r="G123" s="466">
        <f t="shared" si="29"/>
        <v>31252.699999999997</v>
      </c>
      <c r="H123" s="113">
        <f t="shared" si="30"/>
        <v>5059.3925218402983</v>
      </c>
      <c r="I123" s="122">
        <f t="shared" si="31"/>
        <v>5059.3925218402983</v>
      </c>
      <c r="J123" s="446">
        <f t="shared" si="19"/>
        <v>0</v>
      </c>
      <c r="K123" s="446"/>
      <c r="L123" s="115"/>
      <c r="M123" s="446">
        <f t="shared" si="16"/>
        <v>0</v>
      </c>
      <c r="N123" s="115"/>
      <c r="O123" s="446">
        <f t="shared" si="17"/>
        <v>0</v>
      </c>
      <c r="P123" s="446">
        <f t="shared" si="18"/>
        <v>0</v>
      </c>
    </row>
    <row r="124" spans="2:16">
      <c r="B124" s="7" t="str">
        <f t="shared" si="23"/>
        <v/>
      </c>
      <c r="C124" s="464">
        <f>IF(D93="","-",+C123+1)</f>
        <v>2047</v>
      </c>
      <c r="D124" s="465">
        <f>IF(F123+SUM(E$99:E123)=D$92,F123,D$92-SUM(E$99:E123))</f>
        <v>30407.699999999997</v>
      </c>
      <c r="E124" s="56">
        <f t="shared" si="27"/>
        <v>1690</v>
      </c>
      <c r="F124" s="466">
        <f t="shared" si="28"/>
        <v>28717.699999999997</v>
      </c>
      <c r="G124" s="466">
        <f t="shared" si="29"/>
        <v>29562.699999999997</v>
      </c>
      <c r="H124" s="113">
        <f t="shared" si="30"/>
        <v>4877.1915164260427</v>
      </c>
      <c r="I124" s="122">
        <f t="shared" si="31"/>
        <v>4877.1915164260427</v>
      </c>
      <c r="J124" s="446">
        <f t="shared" si="19"/>
        <v>0</v>
      </c>
      <c r="K124" s="446"/>
      <c r="L124" s="115"/>
      <c r="M124" s="446">
        <f t="shared" si="16"/>
        <v>0</v>
      </c>
      <c r="N124" s="115"/>
      <c r="O124" s="446">
        <f t="shared" si="17"/>
        <v>0</v>
      </c>
      <c r="P124" s="446">
        <f t="shared" si="18"/>
        <v>0</v>
      </c>
    </row>
    <row r="125" spans="2:16">
      <c r="B125" s="7" t="str">
        <f t="shared" si="23"/>
        <v/>
      </c>
      <c r="C125" s="464">
        <f>IF(D93="","-",+C124+1)</f>
        <v>2048</v>
      </c>
      <c r="D125" s="465">
        <f>IF(F124+SUM(E$99:E124)=D$92,F124,D$92-SUM(E$99:E124))</f>
        <v>28717.699999999997</v>
      </c>
      <c r="E125" s="56">
        <f t="shared" si="27"/>
        <v>1690</v>
      </c>
      <c r="F125" s="466">
        <f t="shared" si="28"/>
        <v>27027.699999999997</v>
      </c>
      <c r="G125" s="466">
        <f t="shared" si="29"/>
        <v>27872.699999999997</v>
      </c>
      <c r="H125" s="113">
        <f t="shared" si="30"/>
        <v>4694.990511011787</v>
      </c>
      <c r="I125" s="122">
        <f t="shared" si="31"/>
        <v>4694.990511011787</v>
      </c>
      <c r="J125" s="446">
        <f t="shared" si="19"/>
        <v>0</v>
      </c>
      <c r="K125" s="446"/>
      <c r="L125" s="115"/>
      <c r="M125" s="446">
        <f t="shared" si="16"/>
        <v>0</v>
      </c>
      <c r="N125" s="115"/>
      <c r="O125" s="446">
        <f t="shared" si="17"/>
        <v>0</v>
      </c>
      <c r="P125" s="446">
        <f t="shared" si="18"/>
        <v>0</v>
      </c>
    </row>
    <row r="126" spans="2:16">
      <c r="B126" s="7" t="str">
        <f t="shared" si="23"/>
        <v/>
      </c>
      <c r="C126" s="464">
        <f>IF(D93="","-",+C125+1)</f>
        <v>2049</v>
      </c>
      <c r="D126" s="465">
        <f>IF(F125+SUM(E$99:E125)=D$92,F125,D$92-SUM(E$99:E125))</f>
        <v>27027.699999999997</v>
      </c>
      <c r="E126" s="56">
        <f t="shared" si="27"/>
        <v>1690</v>
      </c>
      <c r="F126" s="466">
        <f t="shared" si="28"/>
        <v>25337.699999999997</v>
      </c>
      <c r="G126" s="466">
        <f t="shared" si="29"/>
        <v>26182.699999999997</v>
      </c>
      <c r="H126" s="113">
        <f t="shared" si="30"/>
        <v>4512.7895055975314</v>
      </c>
      <c r="I126" s="122">
        <f t="shared" si="31"/>
        <v>4512.7895055975314</v>
      </c>
      <c r="J126" s="446">
        <f t="shared" si="19"/>
        <v>0</v>
      </c>
      <c r="K126" s="446"/>
      <c r="L126" s="115"/>
      <c r="M126" s="446">
        <f t="shared" si="16"/>
        <v>0</v>
      </c>
      <c r="N126" s="115"/>
      <c r="O126" s="446">
        <f t="shared" si="17"/>
        <v>0</v>
      </c>
      <c r="P126" s="446">
        <f t="shared" si="18"/>
        <v>0</v>
      </c>
    </row>
    <row r="127" spans="2:16">
      <c r="B127" s="7" t="str">
        <f t="shared" si="23"/>
        <v/>
      </c>
      <c r="C127" s="464">
        <f>IF(D93="","-",+C126+1)</f>
        <v>2050</v>
      </c>
      <c r="D127" s="465">
        <f>IF(F126+SUM(E$99:E126)=D$92,F126,D$92-SUM(E$99:E126))</f>
        <v>25337.699999999997</v>
      </c>
      <c r="E127" s="56">
        <f t="shared" si="27"/>
        <v>1690</v>
      </c>
      <c r="F127" s="466">
        <f t="shared" si="28"/>
        <v>23647.699999999997</v>
      </c>
      <c r="G127" s="466">
        <f t="shared" si="29"/>
        <v>24492.699999999997</v>
      </c>
      <c r="H127" s="113">
        <f t="shared" si="30"/>
        <v>4330.5885001832758</v>
      </c>
      <c r="I127" s="122">
        <f t="shared" si="31"/>
        <v>4330.5885001832758</v>
      </c>
      <c r="J127" s="446">
        <f t="shared" si="19"/>
        <v>0</v>
      </c>
      <c r="K127" s="446"/>
      <c r="L127" s="115"/>
      <c r="M127" s="446">
        <f t="shared" si="16"/>
        <v>0</v>
      </c>
      <c r="N127" s="115"/>
      <c r="O127" s="446">
        <f t="shared" si="17"/>
        <v>0</v>
      </c>
      <c r="P127" s="446">
        <f t="shared" si="18"/>
        <v>0</v>
      </c>
    </row>
    <row r="128" spans="2:16">
      <c r="B128" s="7" t="str">
        <f t="shared" si="23"/>
        <v/>
      </c>
      <c r="C128" s="464">
        <f>IF(D93="","-",+C127+1)</f>
        <v>2051</v>
      </c>
      <c r="D128" s="465">
        <f>IF(F127+SUM(E$99:E127)=D$92,F127,D$92-SUM(E$99:E127))</f>
        <v>23647.699999999997</v>
      </c>
      <c r="E128" s="56">
        <f t="shared" si="27"/>
        <v>1690</v>
      </c>
      <c r="F128" s="466">
        <f t="shared" si="28"/>
        <v>21957.699999999997</v>
      </c>
      <c r="G128" s="466">
        <f t="shared" si="29"/>
        <v>22802.699999999997</v>
      </c>
      <c r="H128" s="113">
        <f t="shared" si="30"/>
        <v>4148.3874947690201</v>
      </c>
      <c r="I128" s="122">
        <f t="shared" si="31"/>
        <v>4148.3874947690201</v>
      </c>
      <c r="J128" s="446">
        <f t="shared" si="19"/>
        <v>0</v>
      </c>
      <c r="K128" s="446"/>
      <c r="L128" s="115"/>
      <c r="M128" s="446">
        <f t="shared" si="16"/>
        <v>0</v>
      </c>
      <c r="N128" s="115"/>
      <c r="O128" s="446">
        <f t="shared" si="17"/>
        <v>0</v>
      </c>
      <c r="P128" s="446">
        <f t="shared" si="18"/>
        <v>0</v>
      </c>
    </row>
    <row r="129" spans="2:16">
      <c r="B129" s="7" t="str">
        <f t="shared" si="23"/>
        <v/>
      </c>
      <c r="C129" s="464">
        <f>IF(D93="","-",+C128+1)</f>
        <v>2052</v>
      </c>
      <c r="D129" s="465">
        <f>IF(F128+SUM(E$99:E128)=D$92,F128,D$92-SUM(E$99:E128))</f>
        <v>21957.699999999997</v>
      </c>
      <c r="E129" s="56">
        <f t="shared" si="27"/>
        <v>1690</v>
      </c>
      <c r="F129" s="466">
        <f t="shared" si="28"/>
        <v>20267.699999999997</v>
      </c>
      <c r="G129" s="466">
        <f t="shared" si="29"/>
        <v>21112.699999999997</v>
      </c>
      <c r="H129" s="113">
        <f t="shared" si="30"/>
        <v>3966.1864893547654</v>
      </c>
      <c r="I129" s="122">
        <f t="shared" si="31"/>
        <v>3966.1864893547654</v>
      </c>
      <c r="J129" s="446">
        <f t="shared" si="19"/>
        <v>0</v>
      </c>
      <c r="K129" s="446"/>
      <c r="L129" s="115"/>
      <c r="M129" s="446">
        <f t="shared" si="16"/>
        <v>0</v>
      </c>
      <c r="N129" s="115"/>
      <c r="O129" s="446">
        <f t="shared" si="17"/>
        <v>0</v>
      </c>
      <c r="P129" s="446">
        <f t="shared" si="18"/>
        <v>0</v>
      </c>
    </row>
    <row r="130" spans="2:16">
      <c r="B130" s="7" t="str">
        <f t="shared" si="23"/>
        <v/>
      </c>
      <c r="C130" s="464">
        <f>IF(D93="","-",+C129+1)</f>
        <v>2053</v>
      </c>
      <c r="D130" s="465">
        <f>IF(F129+SUM(E$99:E129)=D$92,F129,D$92-SUM(E$99:E129))</f>
        <v>20267.699999999997</v>
      </c>
      <c r="E130" s="56">
        <f t="shared" si="27"/>
        <v>1690</v>
      </c>
      <c r="F130" s="466">
        <f t="shared" si="28"/>
        <v>18577.699999999997</v>
      </c>
      <c r="G130" s="466">
        <f t="shared" si="29"/>
        <v>19422.699999999997</v>
      </c>
      <c r="H130" s="113">
        <f t="shared" si="30"/>
        <v>3783.9854839405098</v>
      </c>
      <c r="I130" s="122">
        <f t="shared" si="31"/>
        <v>3783.9854839405098</v>
      </c>
      <c r="J130" s="446">
        <f t="shared" si="19"/>
        <v>0</v>
      </c>
      <c r="K130" s="446"/>
      <c r="L130" s="115"/>
      <c r="M130" s="446">
        <f t="shared" si="16"/>
        <v>0</v>
      </c>
      <c r="N130" s="115"/>
      <c r="O130" s="446">
        <f t="shared" si="17"/>
        <v>0</v>
      </c>
      <c r="P130" s="446">
        <f t="shared" si="18"/>
        <v>0</v>
      </c>
    </row>
    <row r="131" spans="2:16">
      <c r="B131" s="7" t="str">
        <f t="shared" si="23"/>
        <v/>
      </c>
      <c r="C131" s="464">
        <f>IF(D93="","-",+C130+1)</f>
        <v>2054</v>
      </c>
      <c r="D131" s="465">
        <f>IF(F130+SUM(E$99:E130)=D$92,F130,D$92-SUM(E$99:E130))</f>
        <v>18577.699999999997</v>
      </c>
      <c r="E131" s="56">
        <f t="shared" si="27"/>
        <v>1690</v>
      </c>
      <c r="F131" s="466">
        <f t="shared" si="28"/>
        <v>16887.699999999997</v>
      </c>
      <c r="G131" s="466">
        <f t="shared" si="29"/>
        <v>17732.699999999997</v>
      </c>
      <c r="H131" s="113">
        <f t="shared" si="30"/>
        <v>3601.7844785262541</v>
      </c>
      <c r="I131" s="122">
        <f t="shared" si="31"/>
        <v>3601.7844785262541</v>
      </c>
      <c r="J131" s="446">
        <f t="shared" ref="J131:J154" si="32">+I541-H541</f>
        <v>0</v>
      </c>
      <c r="K131" s="446"/>
      <c r="L131" s="115"/>
      <c r="M131" s="446">
        <f t="shared" ref="M131:M154" si="33">IF(L541&lt;&gt;0,+H541-L541,0)</f>
        <v>0</v>
      </c>
      <c r="N131" s="115"/>
      <c r="O131" s="446">
        <f t="shared" ref="O131:O154" si="34">IF(N541&lt;&gt;0,+I541-N541,0)</f>
        <v>0</v>
      </c>
      <c r="P131" s="446">
        <f t="shared" ref="P131:P154" si="35">+O541-M541</f>
        <v>0</v>
      </c>
    </row>
    <row r="132" spans="2:16">
      <c r="B132" s="7" t="str">
        <f t="shared" si="23"/>
        <v/>
      </c>
      <c r="C132" s="464">
        <f>IF(D93="","-",+C131+1)</f>
        <v>2055</v>
      </c>
      <c r="D132" s="465">
        <f>IF(F131+SUM(E$99:E131)=D$92,F131,D$92-SUM(E$99:E131))</f>
        <v>16887.699999999997</v>
      </c>
      <c r="E132" s="56">
        <f t="shared" si="27"/>
        <v>1690</v>
      </c>
      <c r="F132" s="466">
        <f t="shared" si="28"/>
        <v>15197.699999999997</v>
      </c>
      <c r="G132" s="466">
        <f t="shared" si="29"/>
        <v>16042.699999999997</v>
      </c>
      <c r="H132" s="113">
        <f t="shared" si="30"/>
        <v>3419.5834731119985</v>
      </c>
      <c r="I132" s="122">
        <f t="shared" si="31"/>
        <v>3419.5834731119985</v>
      </c>
      <c r="J132" s="446">
        <f t="shared" si="32"/>
        <v>0</v>
      </c>
      <c r="K132" s="446"/>
      <c r="L132" s="115"/>
      <c r="M132" s="446">
        <f t="shared" si="33"/>
        <v>0</v>
      </c>
      <c r="N132" s="115"/>
      <c r="O132" s="446">
        <f t="shared" si="34"/>
        <v>0</v>
      </c>
      <c r="P132" s="446">
        <f t="shared" si="35"/>
        <v>0</v>
      </c>
    </row>
    <row r="133" spans="2:16">
      <c r="B133" s="7" t="str">
        <f t="shared" si="23"/>
        <v/>
      </c>
      <c r="C133" s="464">
        <f>IF(D93="","-",+C132+1)</f>
        <v>2056</v>
      </c>
      <c r="D133" s="465">
        <f>IF(F132+SUM(E$99:E132)=D$92,F132,D$92-SUM(E$99:E132))</f>
        <v>15197.699999999997</v>
      </c>
      <c r="E133" s="56">
        <f t="shared" si="27"/>
        <v>1690</v>
      </c>
      <c r="F133" s="466">
        <f t="shared" si="28"/>
        <v>13507.699999999997</v>
      </c>
      <c r="G133" s="466">
        <f t="shared" si="29"/>
        <v>14352.699999999997</v>
      </c>
      <c r="H133" s="113">
        <f t="shared" si="30"/>
        <v>3237.3824676977429</v>
      </c>
      <c r="I133" s="122">
        <f t="shared" si="31"/>
        <v>3237.3824676977429</v>
      </c>
      <c r="J133" s="446">
        <f t="shared" si="32"/>
        <v>0</v>
      </c>
      <c r="K133" s="446"/>
      <c r="L133" s="115"/>
      <c r="M133" s="446">
        <f t="shared" si="33"/>
        <v>0</v>
      </c>
      <c r="N133" s="115"/>
      <c r="O133" s="446">
        <f t="shared" si="34"/>
        <v>0</v>
      </c>
      <c r="P133" s="446">
        <f t="shared" si="35"/>
        <v>0</v>
      </c>
    </row>
    <row r="134" spans="2:16">
      <c r="B134" s="7" t="str">
        <f t="shared" si="23"/>
        <v/>
      </c>
      <c r="C134" s="464">
        <f>IF(D93="","-",+C133+1)</f>
        <v>2057</v>
      </c>
      <c r="D134" s="465">
        <f>IF(F133+SUM(E$99:E133)=D$92,F133,D$92-SUM(E$99:E133))</f>
        <v>13507.699999999997</v>
      </c>
      <c r="E134" s="56">
        <f t="shared" si="27"/>
        <v>1690</v>
      </c>
      <c r="F134" s="466">
        <f t="shared" si="28"/>
        <v>11817.699999999997</v>
      </c>
      <c r="G134" s="466">
        <f t="shared" si="29"/>
        <v>12662.699999999997</v>
      </c>
      <c r="H134" s="113">
        <f t="shared" si="30"/>
        <v>3055.1814622834872</v>
      </c>
      <c r="I134" s="122">
        <f t="shared" si="31"/>
        <v>3055.1814622834872</v>
      </c>
      <c r="J134" s="446">
        <f t="shared" si="32"/>
        <v>0</v>
      </c>
      <c r="K134" s="446"/>
      <c r="L134" s="115"/>
      <c r="M134" s="446">
        <f t="shared" si="33"/>
        <v>0</v>
      </c>
      <c r="N134" s="115"/>
      <c r="O134" s="446">
        <f t="shared" si="34"/>
        <v>0</v>
      </c>
      <c r="P134" s="446">
        <f t="shared" si="35"/>
        <v>0</v>
      </c>
    </row>
    <row r="135" spans="2:16">
      <c r="B135" s="7" t="str">
        <f t="shared" si="23"/>
        <v/>
      </c>
      <c r="C135" s="464">
        <f>IF(D93="","-",+C134+1)</f>
        <v>2058</v>
      </c>
      <c r="D135" s="465">
        <f>IF(F134+SUM(E$99:E134)=D$92,F134,D$92-SUM(E$99:E134))</f>
        <v>11817.699999999997</v>
      </c>
      <c r="E135" s="56">
        <f t="shared" si="27"/>
        <v>1690</v>
      </c>
      <c r="F135" s="466">
        <f t="shared" si="28"/>
        <v>10127.699999999997</v>
      </c>
      <c r="G135" s="466">
        <f t="shared" si="29"/>
        <v>10972.699999999997</v>
      </c>
      <c r="H135" s="113">
        <f t="shared" si="30"/>
        <v>2872.9804568692316</v>
      </c>
      <c r="I135" s="122">
        <f t="shared" si="31"/>
        <v>2872.9804568692316</v>
      </c>
      <c r="J135" s="446">
        <f t="shared" si="32"/>
        <v>0</v>
      </c>
      <c r="K135" s="446"/>
      <c r="L135" s="115"/>
      <c r="M135" s="446">
        <f t="shared" si="33"/>
        <v>0</v>
      </c>
      <c r="N135" s="115"/>
      <c r="O135" s="446">
        <f t="shared" si="34"/>
        <v>0</v>
      </c>
      <c r="P135" s="446">
        <f t="shared" si="35"/>
        <v>0</v>
      </c>
    </row>
    <row r="136" spans="2:16">
      <c r="B136" s="7" t="str">
        <f t="shared" si="23"/>
        <v/>
      </c>
      <c r="C136" s="464">
        <f>IF(D93="","-",+C135+1)</f>
        <v>2059</v>
      </c>
      <c r="D136" s="465">
        <f>IF(F135+SUM(E$99:E135)=D$92,F135,D$92-SUM(E$99:E135))</f>
        <v>10127.699999999997</v>
      </c>
      <c r="E136" s="56">
        <f t="shared" si="27"/>
        <v>1690</v>
      </c>
      <c r="F136" s="466">
        <f t="shared" si="28"/>
        <v>8437.6999999999971</v>
      </c>
      <c r="G136" s="466">
        <f t="shared" si="29"/>
        <v>9282.6999999999971</v>
      </c>
      <c r="H136" s="113">
        <f t="shared" si="30"/>
        <v>2690.779451454976</v>
      </c>
      <c r="I136" s="122">
        <f t="shared" si="31"/>
        <v>2690.779451454976</v>
      </c>
      <c r="J136" s="446">
        <f t="shared" si="32"/>
        <v>0</v>
      </c>
      <c r="K136" s="446"/>
      <c r="L136" s="115"/>
      <c r="M136" s="446">
        <f t="shared" si="33"/>
        <v>0</v>
      </c>
      <c r="N136" s="115"/>
      <c r="O136" s="446">
        <f t="shared" si="34"/>
        <v>0</v>
      </c>
      <c r="P136" s="446">
        <f t="shared" si="35"/>
        <v>0</v>
      </c>
    </row>
    <row r="137" spans="2:16">
      <c r="B137" s="7" t="str">
        <f t="shared" si="23"/>
        <v/>
      </c>
      <c r="C137" s="464">
        <f>IF(D93="","-",+C136+1)</f>
        <v>2060</v>
      </c>
      <c r="D137" s="465">
        <f>IF(F136+SUM(E$99:E136)=D$92,F136,D$92-SUM(E$99:E136))</f>
        <v>8437.6999999999971</v>
      </c>
      <c r="E137" s="56">
        <f t="shared" si="27"/>
        <v>1690</v>
      </c>
      <c r="F137" s="466">
        <f t="shared" si="28"/>
        <v>6747.6999999999971</v>
      </c>
      <c r="G137" s="466">
        <f t="shared" si="29"/>
        <v>7592.6999999999971</v>
      </c>
      <c r="H137" s="113">
        <f t="shared" si="30"/>
        <v>2508.5784460407203</v>
      </c>
      <c r="I137" s="122">
        <f t="shared" si="31"/>
        <v>2508.5784460407203</v>
      </c>
      <c r="J137" s="446">
        <f t="shared" si="32"/>
        <v>0</v>
      </c>
      <c r="K137" s="446"/>
      <c r="L137" s="115"/>
      <c r="M137" s="446">
        <f t="shared" si="33"/>
        <v>0</v>
      </c>
      <c r="N137" s="115"/>
      <c r="O137" s="446">
        <f t="shared" si="34"/>
        <v>0</v>
      </c>
      <c r="P137" s="446">
        <f t="shared" si="35"/>
        <v>0</v>
      </c>
    </row>
    <row r="138" spans="2:16">
      <c r="B138" s="7" t="str">
        <f t="shared" si="23"/>
        <v/>
      </c>
      <c r="C138" s="464">
        <f>IF(D93="","-",+C137+1)</f>
        <v>2061</v>
      </c>
      <c r="D138" s="465">
        <f>IF(F137+SUM(E$99:E137)=D$92,F137,D$92-SUM(E$99:E137))</f>
        <v>6747.6999999999971</v>
      </c>
      <c r="E138" s="56">
        <f t="shared" si="27"/>
        <v>1690</v>
      </c>
      <c r="F138" s="466">
        <f t="shared" si="28"/>
        <v>5057.6999999999971</v>
      </c>
      <c r="G138" s="466">
        <f t="shared" si="29"/>
        <v>5902.6999999999971</v>
      </c>
      <c r="H138" s="113">
        <f t="shared" si="30"/>
        <v>2326.3774406264652</v>
      </c>
      <c r="I138" s="122">
        <f t="shared" si="31"/>
        <v>2326.3774406264652</v>
      </c>
      <c r="J138" s="446">
        <f t="shared" si="32"/>
        <v>0</v>
      </c>
      <c r="K138" s="446"/>
      <c r="L138" s="115"/>
      <c r="M138" s="446">
        <f t="shared" si="33"/>
        <v>0</v>
      </c>
      <c r="N138" s="115"/>
      <c r="O138" s="446">
        <f t="shared" si="34"/>
        <v>0</v>
      </c>
      <c r="P138" s="446">
        <f t="shared" si="35"/>
        <v>0</v>
      </c>
    </row>
    <row r="139" spans="2:16">
      <c r="B139" s="7" t="str">
        <f t="shared" si="23"/>
        <v/>
      </c>
      <c r="C139" s="464">
        <f>IF(D93="","-",+C138+1)</f>
        <v>2062</v>
      </c>
      <c r="D139" s="465">
        <f>IF(F138+SUM(E$99:E138)=D$92,F138,D$92-SUM(E$99:E138))</f>
        <v>5057.6999999999971</v>
      </c>
      <c r="E139" s="56">
        <f t="shared" si="27"/>
        <v>1690</v>
      </c>
      <c r="F139" s="466">
        <f t="shared" si="28"/>
        <v>3367.6999999999971</v>
      </c>
      <c r="G139" s="466">
        <f t="shared" si="29"/>
        <v>4212.6999999999971</v>
      </c>
      <c r="H139" s="113">
        <f t="shared" si="30"/>
        <v>2144.1764352122095</v>
      </c>
      <c r="I139" s="122">
        <f t="shared" si="31"/>
        <v>2144.1764352122095</v>
      </c>
      <c r="J139" s="446">
        <f t="shared" si="32"/>
        <v>0</v>
      </c>
      <c r="K139" s="446"/>
      <c r="L139" s="115"/>
      <c r="M139" s="446">
        <f t="shared" si="33"/>
        <v>0</v>
      </c>
      <c r="N139" s="115"/>
      <c r="O139" s="446">
        <f t="shared" si="34"/>
        <v>0</v>
      </c>
      <c r="P139" s="446">
        <f t="shared" si="35"/>
        <v>0</v>
      </c>
    </row>
    <row r="140" spans="2:16">
      <c r="B140" s="7" t="str">
        <f t="shared" si="23"/>
        <v/>
      </c>
      <c r="C140" s="464">
        <f>IF(D93="","-",+C139+1)</f>
        <v>2063</v>
      </c>
      <c r="D140" s="465">
        <f>IF(F139+SUM(E$99:E139)=D$92,F139,D$92-SUM(E$99:E139))</f>
        <v>3367.6999999999971</v>
      </c>
      <c r="E140" s="56">
        <f t="shared" si="27"/>
        <v>1690</v>
      </c>
      <c r="F140" s="466">
        <f t="shared" si="28"/>
        <v>1677.6999999999971</v>
      </c>
      <c r="G140" s="466">
        <f t="shared" si="29"/>
        <v>2522.6999999999971</v>
      </c>
      <c r="H140" s="113">
        <f t="shared" si="30"/>
        <v>1961.9754297979539</v>
      </c>
      <c r="I140" s="122">
        <f t="shared" si="31"/>
        <v>1961.9754297979539</v>
      </c>
      <c r="J140" s="446">
        <f t="shared" si="32"/>
        <v>0</v>
      </c>
      <c r="K140" s="446"/>
      <c r="L140" s="115"/>
      <c r="M140" s="446">
        <f t="shared" si="33"/>
        <v>0</v>
      </c>
      <c r="N140" s="115"/>
      <c r="O140" s="446">
        <f t="shared" si="34"/>
        <v>0</v>
      </c>
      <c r="P140" s="446">
        <f t="shared" si="35"/>
        <v>0</v>
      </c>
    </row>
    <row r="141" spans="2:16">
      <c r="B141" s="7" t="str">
        <f t="shared" si="23"/>
        <v/>
      </c>
      <c r="C141" s="464">
        <f>IF(D93="","-",+C140+1)</f>
        <v>2064</v>
      </c>
      <c r="D141" s="465">
        <f>IF(F140+SUM(E$99:E140)=D$92,F140,D$92-SUM(E$99:E140))</f>
        <v>1677.6999999999971</v>
      </c>
      <c r="E141" s="56">
        <f t="shared" si="27"/>
        <v>1677.6999999999971</v>
      </c>
      <c r="F141" s="466">
        <f t="shared" si="28"/>
        <v>0</v>
      </c>
      <c r="G141" s="466">
        <f t="shared" si="29"/>
        <v>838.84999999999854</v>
      </c>
      <c r="H141" s="113">
        <f t="shared" si="30"/>
        <v>1768.1374635454101</v>
      </c>
      <c r="I141" s="122">
        <f t="shared" si="31"/>
        <v>1768.1374635454101</v>
      </c>
      <c r="J141" s="446">
        <f t="shared" si="32"/>
        <v>0</v>
      </c>
      <c r="K141" s="446"/>
      <c r="L141" s="115"/>
      <c r="M141" s="446">
        <f t="shared" si="33"/>
        <v>0</v>
      </c>
      <c r="N141" s="115"/>
      <c r="O141" s="446">
        <f t="shared" si="34"/>
        <v>0</v>
      </c>
      <c r="P141" s="446">
        <f t="shared" si="35"/>
        <v>0</v>
      </c>
    </row>
    <row r="142" spans="2:16">
      <c r="B142" s="7" t="str">
        <f t="shared" si="23"/>
        <v/>
      </c>
      <c r="C142" s="464">
        <f>IF(D93="","-",+C141+1)</f>
        <v>2065</v>
      </c>
      <c r="D142" s="465">
        <f>IF(F141+SUM(E$99:E141)=D$92,F141,D$92-SUM(E$99:E141))</f>
        <v>0</v>
      </c>
      <c r="E142" s="56">
        <f t="shared" si="27"/>
        <v>0</v>
      </c>
      <c r="F142" s="466">
        <f t="shared" si="28"/>
        <v>0</v>
      </c>
      <c r="G142" s="466">
        <f t="shared" si="29"/>
        <v>0</v>
      </c>
      <c r="H142" s="113">
        <f t="shared" si="30"/>
        <v>0</v>
      </c>
      <c r="I142" s="122">
        <f t="shared" si="31"/>
        <v>0</v>
      </c>
      <c r="J142" s="446">
        <f t="shared" si="32"/>
        <v>0</v>
      </c>
      <c r="K142" s="446"/>
      <c r="L142" s="115"/>
      <c r="M142" s="446">
        <f t="shared" si="33"/>
        <v>0</v>
      </c>
      <c r="N142" s="115"/>
      <c r="O142" s="446">
        <f t="shared" si="34"/>
        <v>0</v>
      </c>
      <c r="P142" s="446">
        <f t="shared" si="35"/>
        <v>0</v>
      </c>
    </row>
    <row r="143" spans="2:16">
      <c r="B143" s="7" t="str">
        <f t="shared" si="23"/>
        <v/>
      </c>
      <c r="C143" s="464">
        <f>IF(D93="","-",+C142+1)</f>
        <v>2066</v>
      </c>
      <c r="D143" s="465">
        <f>IF(F142+SUM(E$99:E142)=D$92,F142,D$92-SUM(E$99:E142))</f>
        <v>0</v>
      </c>
      <c r="E143" s="56">
        <f t="shared" si="27"/>
        <v>0</v>
      </c>
      <c r="F143" s="466">
        <f t="shared" si="28"/>
        <v>0</v>
      </c>
      <c r="G143" s="466">
        <f t="shared" si="29"/>
        <v>0</v>
      </c>
      <c r="H143" s="113">
        <f t="shared" si="30"/>
        <v>0</v>
      </c>
      <c r="I143" s="122">
        <f t="shared" si="31"/>
        <v>0</v>
      </c>
      <c r="J143" s="446">
        <f t="shared" si="32"/>
        <v>0</v>
      </c>
      <c r="K143" s="446"/>
      <c r="L143" s="115"/>
      <c r="M143" s="446">
        <f t="shared" si="33"/>
        <v>0</v>
      </c>
      <c r="N143" s="115"/>
      <c r="O143" s="446">
        <f t="shared" si="34"/>
        <v>0</v>
      </c>
      <c r="P143" s="446">
        <f t="shared" si="35"/>
        <v>0</v>
      </c>
    </row>
    <row r="144" spans="2:16">
      <c r="B144" s="7" t="str">
        <f t="shared" si="23"/>
        <v/>
      </c>
      <c r="C144" s="464">
        <f>IF(D93="","-",+C143+1)</f>
        <v>2067</v>
      </c>
      <c r="D144" s="465">
        <f>IF(F143+SUM(E$99:E143)=D$92,F143,D$92-SUM(E$99:E143))</f>
        <v>0</v>
      </c>
      <c r="E144" s="56">
        <f t="shared" si="27"/>
        <v>0</v>
      </c>
      <c r="F144" s="466">
        <f t="shared" si="28"/>
        <v>0</v>
      </c>
      <c r="G144" s="466">
        <f t="shared" si="29"/>
        <v>0</v>
      </c>
      <c r="H144" s="113">
        <f t="shared" si="30"/>
        <v>0</v>
      </c>
      <c r="I144" s="122">
        <f t="shared" si="31"/>
        <v>0</v>
      </c>
      <c r="J144" s="446">
        <f t="shared" si="32"/>
        <v>0</v>
      </c>
      <c r="K144" s="446"/>
      <c r="L144" s="115"/>
      <c r="M144" s="446">
        <f t="shared" si="33"/>
        <v>0</v>
      </c>
      <c r="N144" s="115"/>
      <c r="O144" s="446">
        <f t="shared" si="34"/>
        <v>0</v>
      </c>
      <c r="P144" s="446">
        <f t="shared" si="35"/>
        <v>0</v>
      </c>
    </row>
    <row r="145" spans="2:16">
      <c r="B145" s="7" t="str">
        <f t="shared" si="23"/>
        <v/>
      </c>
      <c r="C145" s="464">
        <f>IF(D93="","-",+C144+1)</f>
        <v>2068</v>
      </c>
      <c r="D145" s="465">
        <f>IF(F144+SUM(E$99:E144)=D$92,F144,D$92-SUM(E$99:E144))</f>
        <v>0</v>
      </c>
      <c r="E145" s="56">
        <f t="shared" si="27"/>
        <v>0</v>
      </c>
      <c r="F145" s="466">
        <f t="shared" si="28"/>
        <v>0</v>
      </c>
      <c r="G145" s="466">
        <f t="shared" si="29"/>
        <v>0</v>
      </c>
      <c r="H145" s="113">
        <f t="shared" si="30"/>
        <v>0</v>
      </c>
      <c r="I145" s="122">
        <f t="shared" si="31"/>
        <v>0</v>
      </c>
      <c r="J145" s="446">
        <f t="shared" si="32"/>
        <v>0</v>
      </c>
      <c r="K145" s="446"/>
      <c r="L145" s="115"/>
      <c r="M145" s="446">
        <f t="shared" si="33"/>
        <v>0</v>
      </c>
      <c r="N145" s="115"/>
      <c r="O145" s="446">
        <f t="shared" si="34"/>
        <v>0</v>
      </c>
      <c r="P145" s="446">
        <f t="shared" si="35"/>
        <v>0</v>
      </c>
    </row>
    <row r="146" spans="2:16">
      <c r="B146" s="7" t="str">
        <f t="shared" si="23"/>
        <v/>
      </c>
      <c r="C146" s="464">
        <f>IF(D93="","-",+C145+1)</f>
        <v>2069</v>
      </c>
      <c r="D146" s="465">
        <f>IF(F145+SUM(E$99:E145)=D$92,F145,D$92-SUM(E$99:E145))</f>
        <v>0</v>
      </c>
      <c r="E146" s="56">
        <f t="shared" si="27"/>
        <v>0</v>
      </c>
      <c r="F146" s="466">
        <f t="shared" si="28"/>
        <v>0</v>
      </c>
      <c r="G146" s="466">
        <f t="shared" si="29"/>
        <v>0</v>
      </c>
      <c r="H146" s="113">
        <f t="shared" si="30"/>
        <v>0</v>
      </c>
      <c r="I146" s="122">
        <f t="shared" si="31"/>
        <v>0</v>
      </c>
      <c r="J146" s="446">
        <f t="shared" si="32"/>
        <v>0</v>
      </c>
      <c r="K146" s="446"/>
      <c r="L146" s="115"/>
      <c r="M146" s="446">
        <f t="shared" si="33"/>
        <v>0</v>
      </c>
      <c r="N146" s="115"/>
      <c r="O146" s="446">
        <f t="shared" si="34"/>
        <v>0</v>
      </c>
      <c r="P146" s="446">
        <f t="shared" si="35"/>
        <v>0</v>
      </c>
    </row>
    <row r="147" spans="2:16">
      <c r="B147" s="7" t="str">
        <f t="shared" si="23"/>
        <v/>
      </c>
      <c r="C147" s="464">
        <f>IF(D93="","-",+C146+1)</f>
        <v>2070</v>
      </c>
      <c r="D147" s="465">
        <f>IF(F146+SUM(E$99:E146)=D$92,F146,D$92-SUM(E$99:E146))</f>
        <v>0</v>
      </c>
      <c r="E147" s="56">
        <f t="shared" si="27"/>
        <v>0</v>
      </c>
      <c r="F147" s="466">
        <f t="shared" si="28"/>
        <v>0</v>
      </c>
      <c r="G147" s="466">
        <f t="shared" si="29"/>
        <v>0</v>
      </c>
      <c r="H147" s="113">
        <f t="shared" si="30"/>
        <v>0</v>
      </c>
      <c r="I147" s="122">
        <f t="shared" si="31"/>
        <v>0</v>
      </c>
      <c r="J147" s="446">
        <f t="shared" si="32"/>
        <v>0</v>
      </c>
      <c r="K147" s="446"/>
      <c r="L147" s="115"/>
      <c r="M147" s="446">
        <f t="shared" si="33"/>
        <v>0</v>
      </c>
      <c r="N147" s="115"/>
      <c r="O147" s="446">
        <f t="shared" si="34"/>
        <v>0</v>
      </c>
      <c r="P147" s="446">
        <f t="shared" si="35"/>
        <v>0</v>
      </c>
    </row>
    <row r="148" spans="2:16">
      <c r="B148" s="7" t="str">
        <f t="shared" si="23"/>
        <v/>
      </c>
      <c r="C148" s="464">
        <f>IF(D93="","-",+C147+1)</f>
        <v>2071</v>
      </c>
      <c r="D148" s="465">
        <f>IF(F147+SUM(E$99:E147)=D$92,F147,D$92-SUM(E$99:E147))</f>
        <v>0</v>
      </c>
      <c r="E148" s="56">
        <f t="shared" si="27"/>
        <v>0</v>
      </c>
      <c r="F148" s="466">
        <f t="shared" si="28"/>
        <v>0</v>
      </c>
      <c r="G148" s="466">
        <f t="shared" si="29"/>
        <v>0</v>
      </c>
      <c r="H148" s="113">
        <f t="shared" si="30"/>
        <v>0</v>
      </c>
      <c r="I148" s="122">
        <f t="shared" si="31"/>
        <v>0</v>
      </c>
      <c r="J148" s="446">
        <f t="shared" si="32"/>
        <v>0</v>
      </c>
      <c r="K148" s="446"/>
      <c r="L148" s="115"/>
      <c r="M148" s="446">
        <f t="shared" si="33"/>
        <v>0</v>
      </c>
      <c r="N148" s="115"/>
      <c r="O148" s="446">
        <f t="shared" si="34"/>
        <v>0</v>
      </c>
      <c r="P148" s="446">
        <f t="shared" si="35"/>
        <v>0</v>
      </c>
    </row>
    <row r="149" spans="2:16">
      <c r="B149" s="7" t="str">
        <f t="shared" si="23"/>
        <v/>
      </c>
      <c r="C149" s="464">
        <f>IF(D93="","-",+C148+1)</f>
        <v>2072</v>
      </c>
      <c r="D149" s="465">
        <f>IF(F148+SUM(E$99:E148)=D$92,F148,D$92-SUM(E$99:E148))</f>
        <v>0</v>
      </c>
      <c r="E149" s="56">
        <f t="shared" si="27"/>
        <v>0</v>
      </c>
      <c r="F149" s="466">
        <f t="shared" si="28"/>
        <v>0</v>
      </c>
      <c r="G149" s="466">
        <f t="shared" si="29"/>
        <v>0</v>
      </c>
      <c r="H149" s="113">
        <f t="shared" si="30"/>
        <v>0</v>
      </c>
      <c r="I149" s="122">
        <f t="shared" si="31"/>
        <v>0</v>
      </c>
      <c r="J149" s="446">
        <f t="shared" si="32"/>
        <v>0</v>
      </c>
      <c r="K149" s="446"/>
      <c r="L149" s="115"/>
      <c r="M149" s="446">
        <f t="shared" si="33"/>
        <v>0</v>
      </c>
      <c r="N149" s="115"/>
      <c r="O149" s="446">
        <f t="shared" si="34"/>
        <v>0</v>
      </c>
      <c r="P149" s="446">
        <f t="shared" si="35"/>
        <v>0</v>
      </c>
    </row>
    <row r="150" spans="2:16">
      <c r="B150" s="7" t="str">
        <f t="shared" si="23"/>
        <v/>
      </c>
      <c r="C150" s="464">
        <f>IF(D93="","-",+C149+1)</f>
        <v>2073</v>
      </c>
      <c r="D150" s="465">
        <f>IF(F149+SUM(E$99:E149)=D$92,F149,D$92-SUM(E$99:E149))</f>
        <v>0</v>
      </c>
      <c r="E150" s="56">
        <f t="shared" si="27"/>
        <v>0</v>
      </c>
      <c r="F150" s="466">
        <f t="shared" si="28"/>
        <v>0</v>
      </c>
      <c r="G150" s="466">
        <f t="shared" si="29"/>
        <v>0</v>
      </c>
      <c r="H150" s="113">
        <f t="shared" si="30"/>
        <v>0</v>
      </c>
      <c r="I150" s="122">
        <f t="shared" si="31"/>
        <v>0</v>
      </c>
      <c r="J150" s="446">
        <f t="shared" si="32"/>
        <v>0</v>
      </c>
      <c r="K150" s="446"/>
      <c r="L150" s="115"/>
      <c r="M150" s="446">
        <f t="shared" si="33"/>
        <v>0</v>
      </c>
      <c r="N150" s="115"/>
      <c r="O150" s="446">
        <f t="shared" si="34"/>
        <v>0</v>
      </c>
      <c r="P150" s="446">
        <f t="shared" si="35"/>
        <v>0</v>
      </c>
    </row>
    <row r="151" spans="2:16">
      <c r="B151" s="7" t="str">
        <f t="shared" si="23"/>
        <v/>
      </c>
      <c r="C151" s="464">
        <f>IF(D93="","-",+C150+1)</f>
        <v>2074</v>
      </c>
      <c r="D151" s="465">
        <f>IF(F150+SUM(E$99:E150)=D$92,F150,D$92-SUM(E$99:E150))</f>
        <v>0</v>
      </c>
      <c r="E151" s="56">
        <f t="shared" si="27"/>
        <v>0</v>
      </c>
      <c r="F151" s="466">
        <f t="shared" si="28"/>
        <v>0</v>
      </c>
      <c r="G151" s="466">
        <f t="shared" si="29"/>
        <v>0</v>
      </c>
      <c r="H151" s="113">
        <f t="shared" si="30"/>
        <v>0</v>
      </c>
      <c r="I151" s="122">
        <f t="shared" si="31"/>
        <v>0</v>
      </c>
      <c r="J151" s="446">
        <f t="shared" si="32"/>
        <v>0</v>
      </c>
      <c r="K151" s="446"/>
      <c r="L151" s="115"/>
      <c r="M151" s="446">
        <f t="shared" si="33"/>
        <v>0</v>
      </c>
      <c r="N151" s="115"/>
      <c r="O151" s="446">
        <f t="shared" si="34"/>
        <v>0</v>
      </c>
      <c r="P151" s="446">
        <f t="shared" si="35"/>
        <v>0</v>
      </c>
    </row>
    <row r="152" spans="2:16">
      <c r="B152" s="7" t="str">
        <f t="shared" si="23"/>
        <v/>
      </c>
      <c r="C152" s="464">
        <f>IF(D93="","-",+C151+1)</f>
        <v>2075</v>
      </c>
      <c r="D152" s="465">
        <f>IF(F151+SUM(E$99:E151)=D$92,F151,D$92-SUM(E$99:E151))</f>
        <v>0</v>
      </c>
      <c r="E152" s="56">
        <f t="shared" si="27"/>
        <v>0</v>
      </c>
      <c r="F152" s="466">
        <f t="shared" si="28"/>
        <v>0</v>
      </c>
      <c r="G152" s="466">
        <f t="shared" si="29"/>
        <v>0</v>
      </c>
      <c r="H152" s="113">
        <f t="shared" si="30"/>
        <v>0</v>
      </c>
      <c r="I152" s="122">
        <f t="shared" si="31"/>
        <v>0</v>
      </c>
      <c r="J152" s="446">
        <f t="shared" si="32"/>
        <v>0</v>
      </c>
      <c r="K152" s="446"/>
      <c r="L152" s="115"/>
      <c r="M152" s="446">
        <f t="shared" si="33"/>
        <v>0</v>
      </c>
      <c r="N152" s="115"/>
      <c r="O152" s="446">
        <f t="shared" si="34"/>
        <v>0</v>
      </c>
      <c r="P152" s="446">
        <f t="shared" si="35"/>
        <v>0</v>
      </c>
    </row>
    <row r="153" spans="2:16">
      <c r="B153" s="7" t="str">
        <f t="shared" si="23"/>
        <v/>
      </c>
      <c r="C153" s="464">
        <f>IF(D93="","-",+C152+1)</f>
        <v>2076</v>
      </c>
      <c r="D153" s="465">
        <f>IF(F152+SUM(E$99:E152)=D$92,F152,D$92-SUM(E$99:E152))</f>
        <v>0</v>
      </c>
      <c r="E153" s="56">
        <f t="shared" si="27"/>
        <v>0</v>
      </c>
      <c r="F153" s="466">
        <f t="shared" si="28"/>
        <v>0</v>
      </c>
      <c r="G153" s="466">
        <f t="shared" si="29"/>
        <v>0</v>
      </c>
      <c r="H153" s="113">
        <f t="shared" si="30"/>
        <v>0</v>
      </c>
      <c r="I153" s="122">
        <f t="shared" si="31"/>
        <v>0</v>
      </c>
      <c r="J153" s="446">
        <f t="shared" si="32"/>
        <v>0</v>
      </c>
      <c r="K153" s="446"/>
      <c r="L153" s="115"/>
      <c r="M153" s="446">
        <f t="shared" si="33"/>
        <v>0</v>
      </c>
      <c r="N153" s="115"/>
      <c r="O153" s="446">
        <f t="shared" si="34"/>
        <v>0</v>
      </c>
      <c r="P153" s="446">
        <f t="shared" si="35"/>
        <v>0</v>
      </c>
    </row>
    <row r="154" spans="2:16" ht="13.5" thickBot="1">
      <c r="B154" s="7" t="str">
        <f t="shared" si="23"/>
        <v/>
      </c>
      <c r="C154" s="471">
        <f>IF(D93="","-",+C153+1)</f>
        <v>2077</v>
      </c>
      <c r="D154" s="492">
        <f>IF(F153+SUM(E$99:E153)=D$92,F153,D$92-SUM(E$99:E153))</f>
        <v>0</v>
      </c>
      <c r="E154" s="60">
        <f t="shared" si="27"/>
        <v>0</v>
      </c>
      <c r="F154" s="472">
        <f t="shared" si="28"/>
        <v>0</v>
      </c>
      <c r="G154" s="472">
        <f t="shared" si="29"/>
        <v>0</v>
      </c>
      <c r="H154" s="123">
        <f t="shared" si="30"/>
        <v>0</v>
      </c>
      <c r="I154" s="124">
        <f t="shared" si="31"/>
        <v>0</v>
      </c>
      <c r="J154" s="475">
        <f t="shared" si="32"/>
        <v>0</v>
      </c>
      <c r="K154" s="446"/>
      <c r="L154" s="116"/>
      <c r="M154" s="475">
        <f t="shared" si="33"/>
        <v>0</v>
      </c>
      <c r="N154" s="116"/>
      <c r="O154" s="475">
        <f t="shared" si="34"/>
        <v>0</v>
      </c>
      <c r="P154" s="475">
        <f t="shared" si="35"/>
        <v>0</v>
      </c>
    </row>
    <row r="155" spans="2:16">
      <c r="C155" s="465" t="s">
        <v>77</v>
      </c>
      <c r="D155" s="453"/>
      <c r="E155" s="453">
        <f>SUM(E99:E154)</f>
        <v>70967.7</v>
      </c>
      <c r="F155" s="453"/>
      <c r="G155" s="453"/>
      <c r="H155" s="453">
        <f>SUM(H99:H154)</f>
        <v>235439.52877117554</v>
      </c>
      <c r="I155" s="453">
        <f>SUM(I99:I154)</f>
        <v>235439.52877117554</v>
      </c>
      <c r="J155" s="453">
        <f>SUM(J99:J154)</f>
        <v>0</v>
      </c>
      <c r="K155" s="453"/>
      <c r="L155" s="453"/>
      <c r="M155" s="453"/>
      <c r="N155" s="453"/>
      <c r="O155" s="453"/>
      <c r="P155" s="449"/>
    </row>
    <row r="156" spans="2:16">
      <c r="C156" t="s">
        <v>100</v>
      </c>
      <c r="D156" s="450"/>
      <c r="E156" s="449"/>
      <c r="F156" s="449"/>
      <c r="G156" s="449"/>
      <c r="H156" s="449"/>
      <c r="I156" s="452"/>
      <c r="J156" s="452"/>
      <c r="K156" s="453"/>
      <c r="L156" s="452"/>
      <c r="M156" s="452"/>
      <c r="N156" s="452"/>
      <c r="O156" s="452"/>
      <c r="P156" s="449"/>
    </row>
    <row r="157" spans="2:16">
      <c r="C157" s="83"/>
      <c r="D157" s="450"/>
      <c r="E157" s="449"/>
      <c r="F157" s="449"/>
      <c r="G157" s="449"/>
      <c r="H157" s="449"/>
      <c r="I157" s="452"/>
      <c r="J157" s="452"/>
      <c r="K157" s="453"/>
      <c r="L157" s="452"/>
      <c r="M157" s="452"/>
      <c r="N157" s="452"/>
      <c r="O157" s="452"/>
      <c r="P157" s="449"/>
    </row>
    <row r="158" spans="2:16">
      <c r="C158" s="98" t="s">
        <v>148</v>
      </c>
      <c r="D158" s="450"/>
      <c r="E158" s="449"/>
      <c r="F158" s="449"/>
      <c r="G158" s="449"/>
      <c r="H158" s="449"/>
      <c r="I158" s="452"/>
      <c r="J158" s="452"/>
      <c r="K158" s="453"/>
      <c r="L158" s="452"/>
      <c r="M158" s="452"/>
      <c r="N158" s="452"/>
      <c r="O158" s="452"/>
      <c r="P158" s="449"/>
    </row>
    <row r="159" spans="2:16">
      <c r="C159" s="26" t="s">
        <v>78</v>
      </c>
      <c r="D159" s="465"/>
      <c r="E159" s="465"/>
      <c r="F159" s="465"/>
      <c r="G159" s="465"/>
      <c r="H159" s="453"/>
      <c r="I159" s="453"/>
      <c r="J159" s="476"/>
      <c r="K159" s="476"/>
      <c r="L159" s="476"/>
      <c r="M159" s="476"/>
      <c r="N159" s="476"/>
      <c r="O159" s="476"/>
      <c r="P159" s="449"/>
    </row>
    <row r="160" spans="2:16">
      <c r="C160" s="84" t="s">
        <v>79</v>
      </c>
      <c r="D160" s="465"/>
      <c r="E160" s="465"/>
      <c r="F160" s="465"/>
      <c r="G160" s="465"/>
      <c r="H160" s="453"/>
      <c r="I160" s="453"/>
      <c r="J160" s="476"/>
      <c r="K160" s="476"/>
      <c r="L160" s="476"/>
      <c r="M160" s="476"/>
      <c r="N160" s="476"/>
      <c r="O160" s="476"/>
      <c r="P160" s="449"/>
    </row>
    <row r="161" spans="3:16">
      <c r="C161" s="84"/>
      <c r="D161" s="465"/>
      <c r="E161" s="465"/>
      <c r="F161" s="465"/>
      <c r="G161" s="465"/>
      <c r="H161" s="453"/>
      <c r="I161" s="453"/>
      <c r="J161" s="476"/>
      <c r="K161" s="476"/>
      <c r="L161" s="476"/>
      <c r="M161" s="476"/>
      <c r="N161" s="476"/>
      <c r="O161" s="476"/>
      <c r="P161" s="449"/>
    </row>
    <row r="162" spans="3:16" ht="18">
      <c r="C162" s="84"/>
      <c r="D162" s="465"/>
      <c r="E162" s="465"/>
      <c r="F162" s="465"/>
      <c r="G162" s="465"/>
      <c r="H162" s="453"/>
      <c r="I162" s="453"/>
      <c r="J162" s="476"/>
      <c r="K162" s="476"/>
      <c r="L162" s="476"/>
      <c r="M162" s="476"/>
      <c r="N162" s="476"/>
      <c r="P162" s="96" t="s">
        <v>145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4" header="0.25" footer="0.5"/>
  <pageSetup scale="47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50972-DFA0-4BEE-B963-7F24E74637D5}">
  <dimension ref="A1:P162"/>
  <sheetViews>
    <sheetView topLeftCell="A88" zoomScaleNormal="100" zoomScaleSheetLayoutView="78" workbookViewId="0">
      <selection activeCell="D11" sqref="D1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32 of 36</v>
      </c>
    </row>
    <row r="2" spans="1:16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5.75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279</v>
      </c>
      <c r="L5" s="18"/>
      <c r="M5" s="19"/>
      <c r="N5" s="20">
        <f>VLOOKUP(I10,C17:I72,5)</f>
        <v>1019316.6434972463</v>
      </c>
      <c r="P5" s="1"/>
    </row>
    <row r="6" spans="1:16" ht="15.75">
      <c r="C6" s="6"/>
      <c r="D6" s="2"/>
      <c r="E6" s="1"/>
      <c r="F6" s="1"/>
      <c r="G6" s="1"/>
      <c r="H6" s="21"/>
      <c r="I6" s="21"/>
      <c r="J6" s="22"/>
      <c r="K6" s="23" t="s">
        <v>280</v>
      </c>
      <c r="L6" s="24"/>
      <c r="M6" s="1"/>
      <c r="N6" s="25">
        <f>VLOOKUP(I10,C17:I72,6)</f>
        <v>1019316.6434972463</v>
      </c>
      <c r="O6" s="1"/>
      <c r="P6" s="1"/>
    </row>
    <row r="7" spans="1:16" ht="13.5" thickBot="1">
      <c r="C7" s="26" t="s">
        <v>46</v>
      </c>
      <c r="D7" s="88" t="s">
        <v>360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361</v>
      </c>
      <c r="E9" s="438" t="s">
        <v>381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5">
        <v>7363544</v>
      </c>
      <c r="E10" s="1" t="s">
        <v>51</v>
      </c>
      <c r="G10" s="2"/>
      <c r="H10" s="2"/>
      <c r="I10" s="36">
        <f>+'PSO.WS.F.BPU.ATRR.Projected'!L19</f>
        <v>2025</v>
      </c>
      <c r="J10" s="34"/>
      <c r="K10" s="14" t="s">
        <v>52</v>
      </c>
      <c r="O10" s="1"/>
      <c r="P10" s="1"/>
    </row>
    <row r="11" spans="1:16">
      <c r="C11" s="37" t="s">
        <v>53</v>
      </c>
      <c r="D11" s="38">
        <v>2024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5">
        <v>12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14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193777.47368421053</v>
      </c>
      <c r="J14" s="14"/>
      <c r="K14" s="14"/>
      <c r="L14" s="14"/>
      <c r="M14" s="14"/>
      <c r="N14" s="14"/>
      <c r="O14" s="1"/>
      <c r="P14" s="1"/>
    </row>
    <row r="15" spans="1:16" ht="38.25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281</v>
      </c>
      <c r="H15" s="126" t="s">
        <v>282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3.5" thickBot="1">
      <c r="B17" s="7"/>
      <c r="C17" s="50">
        <f>IF(D11= "","-",D11)</f>
        <v>2024</v>
      </c>
      <c r="D17" s="518">
        <v>0</v>
      </c>
      <c r="E17" s="518">
        <v>0</v>
      </c>
      <c r="F17" s="518">
        <v>3910936</v>
      </c>
      <c r="G17" s="518">
        <v>222415.29712588375</v>
      </c>
      <c r="H17" s="518">
        <v>222415.29712588375</v>
      </c>
      <c r="I17" s="52">
        <f>H17-G17</f>
        <v>0</v>
      </c>
      <c r="J17" s="52"/>
      <c r="K17" s="117">
        <f>+G17</f>
        <v>222415.29712588375</v>
      </c>
      <c r="L17" s="469">
        <f t="shared" ref="L17" si="0">IF(K17&lt;&gt;0,+G17-K17,0)</f>
        <v>0</v>
      </c>
      <c r="M17" s="117">
        <f>+H17</f>
        <v>222415.29712588375</v>
      </c>
      <c r="N17" s="446">
        <f t="shared" ref="N17" si="1">IF(M17&lt;&gt;0,+H17-M17,0)</f>
        <v>0</v>
      </c>
      <c r="O17" s="446">
        <f t="shared" ref="O17" si="2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2025</v>
      </c>
      <c r="D18" s="518">
        <v>7363543.5729849767</v>
      </c>
      <c r="E18" s="518">
        <v>193777.46244697308</v>
      </c>
      <c r="F18" s="518">
        <v>7169766.110538004</v>
      </c>
      <c r="G18" s="518">
        <v>1019316.6434972463</v>
      </c>
      <c r="H18" s="518">
        <v>1019316.6434972463</v>
      </c>
      <c r="I18" s="52">
        <f>H18-G18</f>
        <v>0</v>
      </c>
      <c r="J18" s="52"/>
      <c r="K18" s="117">
        <f>+G18</f>
        <v>1019316.6434972463</v>
      </c>
      <c r="L18" s="469">
        <f t="shared" ref="L18" si="3">IF(K18&lt;&gt;0,+G18-K18,0)</f>
        <v>0</v>
      </c>
      <c r="M18" s="117">
        <f>+H18</f>
        <v>1019316.6434972463</v>
      </c>
      <c r="N18" s="446">
        <f t="shared" ref="N18" si="4">IF(M18&lt;&gt;0,+H18-M18,0)</f>
        <v>0</v>
      </c>
      <c r="O18" s="54">
        <f t="shared" ref="O18:O72" si="5">+N18-L18</f>
        <v>0</v>
      </c>
      <c r="P18" s="1"/>
    </row>
    <row r="19" spans="2:16">
      <c r="B19" s="7" t="str">
        <f>IF(D19=F18,"","IU")</f>
        <v>IU</v>
      </c>
      <c r="C19" s="50">
        <f>IF(D11="","-",+C18+1)</f>
        <v>2026</v>
      </c>
      <c r="D19" s="55">
        <f>IF(F18+SUM(E$17:E18)=D$10,F18,D$10-SUM(E$17:E18))</f>
        <v>7169766.5375530273</v>
      </c>
      <c r="E19" s="56">
        <f t="shared" ref="E19:E71" si="6">IF(+I$14&lt;F18,I$14,D19)</f>
        <v>193777.47368421053</v>
      </c>
      <c r="F19" s="55">
        <f t="shared" ref="F19:F71" si="7">+D19-E19</f>
        <v>6975989.0638688169</v>
      </c>
      <c r="G19" s="57">
        <f t="shared" ref="G19:G71" si="8">(D19+F19)/2*I$12+E19</f>
        <v>997302.32444651145</v>
      </c>
      <c r="H19" s="42">
        <f t="shared" ref="H19:H71" si="9">+(D19+F19)/2*I$13+E19</f>
        <v>997302.32444651145</v>
      </c>
      <c r="I19" s="52">
        <f t="shared" ref="I19:I71" si="10">H19-G19</f>
        <v>0</v>
      </c>
      <c r="J19" s="52"/>
      <c r="K19" s="115"/>
      <c r="L19" s="54">
        <f t="shared" ref="L19:L72" si="11">IF(K19&lt;&gt;0,+G19-K19,0)</f>
        <v>0</v>
      </c>
      <c r="M19" s="115"/>
      <c r="N19" s="54">
        <f t="shared" ref="N19:N72" si="12">IF(M19&lt;&gt;0,+H19-M19,0)</f>
        <v>0</v>
      </c>
      <c r="O19" s="54">
        <f t="shared" si="5"/>
        <v>0</v>
      </c>
      <c r="P19" s="1"/>
    </row>
    <row r="20" spans="2:16">
      <c r="B20" s="7" t="str">
        <f t="shared" ref="B20:B72" si="13">IF(D20=F19,"","IU")</f>
        <v/>
      </c>
      <c r="C20" s="50">
        <f>IF(D11="","-",+C19+1)</f>
        <v>2027</v>
      </c>
      <c r="D20" s="55">
        <f>IF(F19+SUM(E$17:E19)=D$10,F19,D$10-SUM(E$17:E19))</f>
        <v>6975989.0638688169</v>
      </c>
      <c r="E20" s="56">
        <f t="shared" si="6"/>
        <v>193777.47368421053</v>
      </c>
      <c r="F20" s="55">
        <f t="shared" si="7"/>
        <v>6782211.5901846066</v>
      </c>
      <c r="G20" s="57">
        <f t="shared" si="8"/>
        <v>975287.94500854763</v>
      </c>
      <c r="H20" s="42">
        <f t="shared" si="9"/>
        <v>975287.94500854763</v>
      </c>
      <c r="I20" s="52">
        <f t="shared" si="10"/>
        <v>0</v>
      </c>
      <c r="J20" s="52"/>
      <c r="K20" s="115"/>
      <c r="L20" s="54">
        <f t="shared" si="11"/>
        <v>0</v>
      </c>
      <c r="M20" s="115"/>
      <c r="N20" s="54">
        <f t="shared" si="12"/>
        <v>0</v>
      </c>
      <c r="O20" s="54">
        <f t="shared" si="5"/>
        <v>0</v>
      </c>
      <c r="P20" s="1"/>
    </row>
    <row r="21" spans="2:16">
      <c r="B21" s="7" t="str">
        <f t="shared" si="13"/>
        <v/>
      </c>
      <c r="C21" s="50">
        <f>IF(D11="","-",+C20+1)</f>
        <v>2028</v>
      </c>
      <c r="D21" s="55">
        <f>IF(F20+SUM(E$17:E20)=D$10,F20,D$10-SUM(E$17:E20))</f>
        <v>6782211.5901846066</v>
      </c>
      <c r="E21" s="56">
        <f t="shared" si="6"/>
        <v>193777.47368421053</v>
      </c>
      <c r="F21" s="55">
        <f t="shared" si="7"/>
        <v>6588434.1165003963</v>
      </c>
      <c r="G21" s="57">
        <f t="shared" si="8"/>
        <v>953273.56557058392</v>
      </c>
      <c r="H21" s="42">
        <f t="shared" si="9"/>
        <v>953273.56557058392</v>
      </c>
      <c r="I21" s="52">
        <f t="shared" si="10"/>
        <v>0</v>
      </c>
      <c r="J21" s="52"/>
      <c r="K21" s="115"/>
      <c r="L21" s="54">
        <f t="shared" si="11"/>
        <v>0</v>
      </c>
      <c r="M21" s="115"/>
      <c r="N21" s="54">
        <f t="shared" si="12"/>
        <v>0</v>
      </c>
      <c r="O21" s="54">
        <f t="shared" si="5"/>
        <v>0</v>
      </c>
      <c r="P21" s="1"/>
    </row>
    <row r="22" spans="2:16">
      <c r="B22" s="7" t="str">
        <f t="shared" si="13"/>
        <v/>
      </c>
      <c r="C22" s="50">
        <f>IF(D11="","-",+C21+1)</f>
        <v>2029</v>
      </c>
      <c r="D22" s="55">
        <f>IF(F21+SUM(E$17:E21)=D$10,F21,D$10-SUM(E$17:E21))</f>
        <v>6588434.1165003963</v>
      </c>
      <c r="E22" s="56">
        <f t="shared" si="6"/>
        <v>193777.47368421053</v>
      </c>
      <c r="F22" s="55">
        <f t="shared" si="7"/>
        <v>6394656.642816186</v>
      </c>
      <c r="G22" s="57">
        <f t="shared" si="8"/>
        <v>931259.18613262021</v>
      </c>
      <c r="H22" s="42">
        <f t="shared" si="9"/>
        <v>931259.18613262021</v>
      </c>
      <c r="I22" s="52">
        <f t="shared" si="10"/>
        <v>0</v>
      </c>
      <c r="J22" s="52"/>
      <c r="K22" s="115"/>
      <c r="L22" s="54">
        <f t="shared" si="11"/>
        <v>0</v>
      </c>
      <c r="M22" s="115"/>
      <c r="N22" s="54">
        <f t="shared" si="12"/>
        <v>0</v>
      </c>
      <c r="O22" s="54">
        <f t="shared" si="5"/>
        <v>0</v>
      </c>
      <c r="P22" s="1"/>
    </row>
    <row r="23" spans="2:16">
      <c r="B23" s="7" t="str">
        <f t="shared" si="13"/>
        <v/>
      </c>
      <c r="C23" s="50">
        <f>IF(D11="","-",+C22+1)</f>
        <v>2030</v>
      </c>
      <c r="D23" s="55">
        <f>IF(F22+SUM(E$17:E22)=D$10,F22,D$10-SUM(E$17:E22))</f>
        <v>6394656.642816186</v>
      </c>
      <c r="E23" s="56">
        <f t="shared" si="6"/>
        <v>193777.47368421053</v>
      </c>
      <c r="F23" s="55">
        <f t="shared" si="7"/>
        <v>6200879.1691319756</v>
      </c>
      <c r="G23" s="57">
        <f t="shared" si="8"/>
        <v>909244.80669465638</v>
      </c>
      <c r="H23" s="42">
        <f t="shared" si="9"/>
        <v>909244.80669465638</v>
      </c>
      <c r="I23" s="52">
        <f t="shared" si="10"/>
        <v>0</v>
      </c>
      <c r="J23" s="52"/>
      <c r="K23" s="115"/>
      <c r="L23" s="54">
        <f t="shared" si="11"/>
        <v>0</v>
      </c>
      <c r="M23" s="115"/>
      <c r="N23" s="54">
        <f t="shared" si="12"/>
        <v>0</v>
      </c>
      <c r="O23" s="54">
        <f t="shared" si="5"/>
        <v>0</v>
      </c>
      <c r="P23" s="1"/>
    </row>
    <row r="24" spans="2:16">
      <c r="B24" s="7" t="str">
        <f t="shared" si="13"/>
        <v/>
      </c>
      <c r="C24" s="50">
        <f>IF(D11="","-",+C23+1)</f>
        <v>2031</v>
      </c>
      <c r="D24" s="55">
        <f>IF(F23+SUM(E$17:E23)=D$10,F23,D$10-SUM(E$17:E23))</f>
        <v>6200879.1691319756</v>
      </c>
      <c r="E24" s="56">
        <f t="shared" si="6"/>
        <v>193777.47368421053</v>
      </c>
      <c r="F24" s="55">
        <f t="shared" si="7"/>
        <v>6007101.6954477653</v>
      </c>
      <c r="G24" s="57">
        <f t="shared" si="8"/>
        <v>887230.42725669267</v>
      </c>
      <c r="H24" s="42">
        <f t="shared" si="9"/>
        <v>887230.42725669267</v>
      </c>
      <c r="I24" s="52">
        <f t="shared" si="10"/>
        <v>0</v>
      </c>
      <c r="J24" s="52"/>
      <c r="K24" s="115"/>
      <c r="L24" s="54">
        <f t="shared" si="11"/>
        <v>0</v>
      </c>
      <c r="M24" s="115"/>
      <c r="N24" s="54">
        <f t="shared" si="12"/>
        <v>0</v>
      </c>
      <c r="O24" s="54">
        <f t="shared" si="5"/>
        <v>0</v>
      </c>
      <c r="P24" s="1"/>
    </row>
    <row r="25" spans="2:16">
      <c r="B25" s="7" t="str">
        <f t="shared" si="13"/>
        <v/>
      </c>
      <c r="C25" s="50">
        <f>IF(D11="","-",+C24+1)</f>
        <v>2032</v>
      </c>
      <c r="D25" s="55">
        <f>IF(F24+SUM(E$17:E24)=D$10,F24,D$10-SUM(E$17:E24))</f>
        <v>6007101.6954477653</v>
      </c>
      <c r="E25" s="56">
        <f t="shared" si="6"/>
        <v>193777.47368421053</v>
      </c>
      <c r="F25" s="55">
        <f t="shared" si="7"/>
        <v>5813324.221763555</v>
      </c>
      <c r="G25" s="57">
        <f t="shared" si="8"/>
        <v>865216.04781872896</v>
      </c>
      <c r="H25" s="42">
        <f t="shared" si="9"/>
        <v>865216.04781872896</v>
      </c>
      <c r="I25" s="52">
        <f t="shared" si="10"/>
        <v>0</v>
      </c>
      <c r="J25" s="52"/>
      <c r="K25" s="115"/>
      <c r="L25" s="54">
        <f t="shared" si="11"/>
        <v>0</v>
      </c>
      <c r="M25" s="115"/>
      <c r="N25" s="54">
        <f t="shared" si="12"/>
        <v>0</v>
      </c>
      <c r="O25" s="54">
        <f t="shared" si="5"/>
        <v>0</v>
      </c>
      <c r="P25" s="1"/>
    </row>
    <row r="26" spans="2:16">
      <c r="B26" s="7" t="str">
        <f t="shared" si="13"/>
        <v/>
      </c>
      <c r="C26" s="50">
        <f>IF(D11="","-",+C25+1)</f>
        <v>2033</v>
      </c>
      <c r="D26" s="55">
        <f>IF(F25+SUM(E$17:E25)=D$10,F25,D$10-SUM(E$17:E25))</f>
        <v>5813324.221763555</v>
      </c>
      <c r="E26" s="56">
        <f t="shared" si="6"/>
        <v>193777.47368421053</v>
      </c>
      <c r="F26" s="55">
        <f t="shared" si="7"/>
        <v>5619546.7480793446</v>
      </c>
      <c r="G26" s="57">
        <f t="shared" si="8"/>
        <v>843201.66838076513</v>
      </c>
      <c r="H26" s="42">
        <f t="shared" si="9"/>
        <v>843201.66838076513</v>
      </c>
      <c r="I26" s="52">
        <f t="shared" si="10"/>
        <v>0</v>
      </c>
      <c r="J26" s="52"/>
      <c r="K26" s="115"/>
      <c r="L26" s="54">
        <f t="shared" si="11"/>
        <v>0</v>
      </c>
      <c r="M26" s="115"/>
      <c r="N26" s="54">
        <f t="shared" si="12"/>
        <v>0</v>
      </c>
      <c r="O26" s="54">
        <f t="shared" si="5"/>
        <v>0</v>
      </c>
      <c r="P26" s="1"/>
    </row>
    <row r="27" spans="2:16">
      <c r="B27" s="7" t="str">
        <f t="shared" si="13"/>
        <v/>
      </c>
      <c r="C27" s="50">
        <f>IF(D11="","-",+C26+1)</f>
        <v>2034</v>
      </c>
      <c r="D27" s="55">
        <f>IF(F26+SUM(E$17:E26)=D$10,F26,D$10-SUM(E$17:E26))</f>
        <v>5619546.7480793446</v>
      </c>
      <c r="E27" s="56">
        <f t="shared" si="6"/>
        <v>193777.47368421053</v>
      </c>
      <c r="F27" s="55">
        <f t="shared" si="7"/>
        <v>5425769.2743951343</v>
      </c>
      <c r="G27" s="57">
        <f t="shared" si="8"/>
        <v>821187.28894280142</v>
      </c>
      <c r="H27" s="42">
        <f t="shared" si="9"/>
        <v>821187.28894280142</v>
      </c>
      <c r="I27" s="52">
        <f t="shared" si="10"/>
        <v>0</v>
      </c>
      <c r="J27" s="52"/>
      <c r="K27" s="115"/>
      <c r="L27" s="54">
        <f t="shared" si="11"/>
        <v>0</v>
      </c>
      <c r="M27" s="115"/>
      <c r="N27" s="54">
        <f t="shared" si="12"/>
        <v>0</v>
      </c>
      <c r="O27" s="54">
        <f t="shared" si="5"/>
        <v>0</v>
      </c>
      <c r="P27" s="1"/>
    </row>
    <row r="28" spans="2:16">
      <c r="B28" s="7" t="str">
        <f t="shared" si="13"/>
        <v/>
      </c>
      <c r="C28" s="50">
        <f>IF(D11="","-",+C27+1)</f>
        <v>2035</v>
      </c>
      <c r="D28" s="55">
        <f>IF(F27+SUM(E$17:E27)=D$10,F27,D$10-SUM(E$17:E27))</f>
        <v>5425769.2743951343</v>
      </c>
      <c r="E28" s="56">
        <f t="shared" si="6"/>
        <v>193777.47368421053</v>
      </c>
      <c r="F28" s="55">
        <f t="shared" si="7"/>
        <v>5231991.800710924</v>
      </c>
      <c r="G28" s="57">
        <f t="shared" si="8"/>
        <v>799172.90950483771</v>
      </c>
      <c r="H28" s="42">
        <f t="shared" si="9"/>
        <v>799172.90950483771</v>
      </c>
      <c r="I28" s="52">
        <f t="shared" si="10"/>
        <v>0</v>
      </c>
      <c r="J28" s="52"/>
      <c r="K28" s="115"/>
      <c r="L28" s="54">
        <f t="shared" si="11"/>
        <v>0</v>
      </c>
      <c r="M28" s="115"/>
      <c r="N28" s="54">
        <f t="shared" si="12"/>
        <v>0</v>
      </c>
      <c r="O28" s="54">
        <f t="shared" si="5"/>
        <v>0</v>
      </c>
      <c r="P28" s="1"/>
    </row>
    <row r="29" spans="2:16">
      <c r="B29" s="7" t="str">
        <f t="shared" si="13"/>
        <v/>
      </c>
      <c r="C29" s="50">
        <f>IF(D11="","-",+C28+1)</f>
        <v>2036</v>
      </c>
      <c r="D29" s="55">
        <f>IF(F28+SUM(E$17:E28)=D$10,F28,D$10-SUM(E$17:E28))</f>
        <v>5231991.800710924</v>
      </c>
      <c r="E29" s="56">
        <f t="shared" si="6"/>
        <v>193777.47368421053</v>
      </c>
      <c r="F29" s="55">
        <f t="shared" si="7"/>
        <v>5038214.3270267136</v>
      </c>
      <c r="G29" s="57">
        <f t="shared" si="8"/>
        <v>777158.53006687388</v>
      </c>
      <c r="H29" s="42">
        <f t="shared" si="9"/>
        <v>777158.53006687388</v>
      </c>
      <c r="I29" s="52">
        <f t="shared" si="10"/>
        <v>0</v>
      </c>
      <c r="J29" s="52"/>
      <c r="K29" s="115"/>
      <c r="L29" s="54">
        <f t="shared" si="11"/>
        <v>0</v>
      </c>
      <c r="M29" s="115"/>
      <c r="N29" s="54">
        <f t="shared" si="12"/>
        <v>0</v>
      </c>
      <c r="O29" s="54">
        <f t="shared" si="5"/>
        <v>0</v>
      </c>
      <c r="P29" s="1"/>
    </row>
    <row r="30" spans="2:16">
      <c r="B30" s="7" t="str">
        <f t="shared" si="13"/>
        <v/>
      </c>
      <c r="C30" s="50">
        <f>IF(D11="","-",+C29+1)</f>
        <v>2037</v>
      </c>
      <c r="D30" s="55">
        <f>IF(F29+SUM(E$17:E29)=D$10,F29,D$10-SUM(E$17:E29))</f>
        <v>5038214.3270267136</v>
      </c>
      <c r="E30" s="56">
        <f t="shared" si="6"/>
        <v>193777.47368421053</v>
      </c>
      <c r="F30" s="55">
        <f t="shared" si="7"/>
        <v>4844436.8533425033</v>
      </c>
      <c r="G30" s="57">
        <f t="shared" si="8"/>
        <v>755144.15062891017</v>
      </c>
      <c r="H30" s="42">
        <f t="shared" si="9"/>
        <v>755144.15062891017</v>
      </c>
      <c r="I30" s="52">
        <f t="shared" si="10"/>
        <v>0</v>
      </c>
      <c r="J30" s="52"/>
      <c r="K30" s="115"/>
      <c r="L30" s="54">
        <f t="shared" si="11"/>
        <v>0</v>
      </c>
      <c r="M30" s="115"/>
      <c r="N30" s="54">
        <f t="shared" si="12"/>
        <v>0</v>
      </c>
      <c r="O30" s="54">
        <f t="shared" si="5"/>
        <v>0</v>
      </c>
      <c r="P30" s="1"/>
    </row>
    <row r="31" spans="2:16">
      <c r="B31" s="7" t="str">
        <f t="shared" si="13"/>
        <v/>
      </c>
      <c r="C31" s="50">
        <f>IF(D11="","-",+C30+1)</f>
        <v>2038</v>
      </c>
      <c r="D31" s="55">
        <f>IF(F30+SUM(E$17:E30)=D$10,F30,D$10-SUM(E$17:E30))</f>
        <v>4844436.8533425033</v>
      </c>
      <c r="E31" s="56">
        <f t="shared" si="6"/>
        <v>193777.47368421053</v>
      </c>
      <c r="F31" s="55">
        <f t="shared" si="7"/>
        <v>4650659.379658293</v>
      </c>
      <c r="G31" s="57">
        <f t="shared" si="8"/>
        <v>733129.77119094646</v>
      </c>
      <c r="H31" s="42">
        <f t="shared" si="9"/>
        <v>733129.77119094646</v>
      </c>
      <c r="I31" s="52">
        <f t="shared" si="10"/>
        <v>0</v>
      </c>
      <c r="J31" s="52"/>
      <c r="K31" s="115"/>
      <c r="L31" s="54">
        <f t="shared" si="11"/>
        <v>0</v>
      </c>
      <c r="M31" s="115"/>
      <c r="N31" s="54">
        <f t="shared" si="12"/>
        <v>0</v>
      </c>
      <c r="O31" s="54">
        <f t="shared" si="5"/>
        <v>0</v>
      </c>
      <c r="P31" s="1"/>
    </row>
    <row r="32" spans="2:16">
      <c r="B32" s="7" t="str">
        <f t="shared" si="13"/>
        <v/>
      </c>
      <c r="C32" s="50">
        <f>IF(D11="","-",+C31+1)</f>
        <v>2039</v>
      </c>
      <c r="D32" s="55">
        <f>IF(F31+SUM(E$17:E31)=D$10,F31,D$10-SUM(E$17:E31))</f>
        <v>4650659.379658293</v>
      </c>
      <c r="E32" s="56">
        <f t="shared" si="6"/>
        <v>193777.47368421053</v>
      </c>
      <c r="F32" s="55">
        <f t="shared" si="7"/>
        <v>4456881.9059740826</v>
      </c>
      <c r="G32" s="57">
        <f t="shared" si="8"/>
        <v>711115.39175298263</v>
      </c>
      <c r="H32" s="42">
        <f t="shared" si="9"/>
        <v>711115.39175298263</v>
      </c>
      <c r="I32" s="52">
        <f t="shared" si="10"/>
        <v>0</v>
      </c>
      <c r="J32" s="52"/>
      <c r="K32" s="115"/>
      <c r="L32" s="54">
        <f t="shared" si="11"/>
        <v>0</v>
      </c>
      <c r="M32" s="115"/>
      <c r="N32" s="54">
        <f t="shared" si="12"/>
        <v>0</v>
      </c>
      <c r="O32" s="54">
        <f t="shared" si="5"/>
        <v>0</v>
      </c>
      <c r="P32" s="1"/>
    </row>
    <row r="33" spans="2:16">
      <c r="B33" s="7" t="str">
        <f t="shared" si="13"/>
        <v/>
      </c>
      <c r="C33" s="50">
        <f>IF(D11="","-",+C32+1)</f>
        <v>2040</v>
      </c>
      <c r="D33" s="55">
        <f>IF(F32+SUM(E$17:E32)=D$10,F32,D$10-SUM(E$17:E32))</f>
        <v>4456881.9059740826</v>
      </c>
      <c r="E33" s="56">
        <f t="shared" si="6"/>
        <v>193777.47368421053</v>
      </c>
      <c r="F33" s="55">
        <f t="shared" si="7"/>
        <v>4263104.4322898723</v>
      </c>
      <c r="G33" s="57">
        <f t="shared" si="8"/>
        <v>689101.01231501892</v>
      </c>
      <c r="H33" s="42">
        <f t="shared" si="9"/>
        <v>689101.01231501892</v>
      </c>
      <c r="I33" s="52">
        <f t="shared" si="10"/>
        <v>0</v>
      </c>
      <c r="J33" s="52"/>
      <c r="K33" s="115"/>
      <c r="L33" s="54">
        <f t="shared" si="11"/>
        <v>0</v>
      </c>
      <c r="M33" s="115"/>
      <c r="N33" s="54">
        <f t="shared" si="12"/>
        <v>0</v>
      </c>
      <c r="O33" s="54">
        <f t="shared" si="5"/>
        <v>0</v>
      </c>
      <c r="P33" s="1"/>
    </row>
    <row r="34" spans="2:16">
      <c r="B34" s="7" t="str">
        <f t="shared" si="13"/>
        <v/>
      </c>
      <c r="C34" s="50">
        <f>IF(D11="","-",+C33+1)</f>
        <v>2041</v>
      </c>
      <c r="D34" s="55">
        <f>IF(F33+SUM(E$17:E33)=D$10,F33,D$10-SUM(E$17:E33))</f>
        <v>4263104.4322898723</v>
      </c>
      <c r="E34" s="56">
        <f t="shared" si="6"/>
        <v>193777.47368421053</v>
      </c>
      <c r="F34" s="55">
        <f t="shared" si="7"/>
        <v>4069326.958605662</v>
      </c>
      <c r="G34" s="57">
        <f t="shared" si="8"/>
        <v>667086.63287705509</v>
      </c>
      <c r="H34" s="42">
        <f t="shared" si="9"/>
        <v>667086.63287705509</v>
      </c>
      <c r="I34" s="52">
        <f t="shared" si="10"/>
        <v>0</v>
      </c>
      <c r="J34" s="52"/>
      <c r="K34" s="115"/>
      <c r="L34" s="54">
        <f t="shared" si="11"/>
        <v>0</v>
      </c>
      <c r="M34" s="115"/>
      <c r="N34" s="54">
        <f t="shared" si="12"/>
        <v>0</v>
      </c>
      <c r="O34" s="54">
        <f t="shared" si="5"/>
        <v>0</v>
      </c>
      <c r="P34" s="1"/>
    </row>
    <row r="35" spans="2:16">
      <c r="B35" s="7" t="str">
        <f t="shared" si="13"/>
        <v/>
      </c>
      <c r="C35" s="50">
        <f>IF(D11="","-",+C34+1)</f>
        <v>2042</v>
      </c>
      <c r="D35" s="55">
        <f>IF(F34+SUM(E$17:E34)=D$10,F34,D$10-SUM(E$17:E34))</f>
        <v>4069326.958605662</v>
      </c>
      <c r="E35" s="56">
        <f t="shared" si="6"/>
        <v>193777.47368421053</v>
      </c>
      <c r="F35" s="55">
        <f t="shared" si="7"/>
        <v>3875549.4849214517</v>
      </c>
      <c r="G35" s="57">
        <f t="shared" si="8"/>
        <v>645072.25343909138</v>
      </c>
      <c r="H35" s="42">
        <f t="shared" si="9"/>
        <v>645072.25343909138</v>
      </c>
      <c r="I35" s="52">
        <f t="shared" si="10"/>
        <v>0</v>
      </c>
      <c r="J35" s="52"/>
      <c r="K35" s="115"/>
      <c r="L35" s="54">
        <f t="shared" si="11"/>
        <v>0</v>
      </c>
      <c r="M35" s="115"/>
      <c r="N35" s="54">
        <f t="shared" si="12"/>
        <v>0</v>
      </c>
      <c r="O35" s="54">
        <f t="shared" si="5"/>
        <v>0</v>
      </c>
      <c r="P35" s="1"/>
    </row>
    <row r="36" spans="2:16">
      <c r="B36" s="7" t="str">
        <f t="shared" si="13"/>
        <v/>
      </c>
      <c r="C36" s="50">
        <f>IF(D11="","-",+C35+1)</f>
        <v>2043</v>
      </c>
      <c r="D36" s="55">
        <f>IF(F35+SUM(E$17:E35)=D$10,F35,D$10-SUM(E$17:E35))</f>
        <v>3875549.4849214517</v>
      </c>
      <c r="E36" s="56">
        <f t="shared" si="6"/>
        <v>193777.47368421053</v>
      </c>
      <c r="F36" s="55">
        <f t="shared" si="7"/>
        <v>3681772.0112372413</v>
      </c>
      <c r="G36" s="57">
        <f t="shared" si="8"/>
        <v>623057.87400112767</v>
      </c>
      <c r="H36" s="42">
        <f t="shared" si="9"/>
        <v>623057.87400112767</v>
      </c>
      <c r="I36" s="52">
        <f t="shared" si="10"/>
        <v>0</v>
      </c>
      <c r="J36" s="52"/>
      <c r="K36" s="115"/>
      <c r="L36" s="54">
        <f t="shared" si="11"/>
        <v>0</v>
      </c>
      <c r="M36" s="115"/>
      <c r="N36" s="54">
        <f t="shared" si="12"/>
        <v>0</v>
      </c>
      <c r="O36" s="54">
        <f t="shared" si="5"/>
        <v>0</v>
      </c>
      <c r="P36" s="1"/>
    </row>
    <row r="37" spans="2:16">
      <c r="B37" s="7" t="str">
        <f t="shared" si="13"/>
        <v/>
      </c>
      <c r="C37" s="50">
        <f>IF(D11="","-",+C36+1)</f>
        <v>2044</v>
      </c>
      <c r="D37" s="55">
        <f>IF(F36+SUM(E$17:E36)=D$10,F36,D$10-SUM(E$17:E36))</f>
        <v>3681772.0112372413</v>
      </c>
      <c r="E37" s="56">
        <f t="shared" si="6"/>
        <v>193777.47368421053</v>
      </c>
      <c r="F37" s="55">
        <f t="shared" si="7"/>
        <v>3487994.537553031</v>
      </c>
      <c r="G37" s="57">
        <f t="shared" si="8"/>
        <v>601043.49456316396</v>
      </c>
      <c r="H37" s="42">
        <f t="shared" si="9"/>
        <v>601043.49456316396</v>
      </c>
      <c r="I37" s="52">
        <f t="shared" si="10"/>
        <v>0</v>
      </c>
      <c r="J37" s="52"/>
      <c r="K37" s="115"/>
      <c r="L37" s="54">
        <f t="shared" si="11"/>
        <v>0</v>
      </c>
      <c r="M37" s="115"/>
      <c r="N37" s="54">
        <f t="shared" si="12"/>
        <v>0</v>
      </c>
      <c r="O37" s="54">
        <f t="shared" si="5"/>
        <v>0</v>
      </c>
      <c r="P37" s="1"/>
    </row>
    <row r="38" spans="2:16">
      <c r="B38" s="7" t="str">
        <f t="shared" si="13"/>
        <v/>
      </c>
      <c r="C38" s="50">
        <f>IF(D11="","-",+C37+1)</f>
        <v>2045</v>
      </c>
      <c r="D38" s="55">
        <f>IF(F37+SUM(E$17:E37)=D$10,F37,D$10-SUM(E$17:E37))</f>
        <v>3487994.537553031</v>
      </c>
      <c r="E38" s="56">
        <f t="shared" si="6"/>
        <v>193777.47368421053</v>
      </c>
      <c r="F38" s="55">
        <f t="shared" si="7"/>
        <v>3294217.0638688207</v>
      </c>
      <c r="G38" s="57">
        <f t="shared" si="8"/>
        <v>579029.11512520013</v>
      </c>
      <c r="H38" s="42">
        <f t="shared" si="9"/>
        <v>579029.11512520013</v>
      </c>
      <c r="I38" s="52">
        <f t="shared" si="10"/>
        <v>0</v>
      </c>
      <c r="J38" s="52"/>
      <c r="K38" s="115"/>
      <c r="L38" s="54">
        <f t="shared" si="11"/>
        <v>0</v>
      </c>
      <c r="M38" s="115"/>
      <c r="N38" s="54">
        <f t="shared" si="12"/>
        <v>0</v>
      </c>
      <c r="O38" s="54">
        <f t="shared" si="5"/>
        <v>0</v>
      </c>
      <c r="P38" s="1"/>
    </row>
    <row r="39" spans="2:16">
      <c r="B39" s="7" t="str">
        <f t="shared" si="13"/>
        <v/>
      </c>
      <c r="C39" s="50">
        <f>IF(D11="","-",+C38+1)</f>
        <v>2046</v>
      </c>
      <c r="D39" s="55">
        <f>IF(F38+SUM(E$17:E38)=D$10,F38,D$10-SUM(E$17:E38))</f>
        <v>3294217.0638688207</v>
      </c>
      <c r="E39" s="56">
        <f t="shared" si="6"/>
        <v>193777.47368421053</v>
      </c>
      <c r="F39" s="55">
        <f t="shared" si="7"/>
        <v>3100439.5901846103</v>
      </c>
      <c r="G39" s="57">
        <f t="shared" si="8"/>
        <v>557014.73568723642</v>
      </c>
      <c r="H39" s="42">
        <f t="shared" si="9"/>
        <v>557014.73568723642</v>
      </c>
      <c r="I39" s="52">
        <f t="shared" si="10"/>
        <v>0</v>
      </c>
      <c r="J39" s="52"/>
      <c r="K39" s="115"/>
      <c r="L39" s="54">
        <f t="shared" si="11"/>
        <v>0</v>
      </c>
      <c r="M39" s="115"/>
      <c r="N39" s="54">
        <f t="shared" si="12"/>
        <v>0</v>
      </c>
      <c r="O39" s="54">
        <f t="shared" si="5"/>
        <v>0</v>
      </c>
      <c r="P39" s="1"/>
    </row>
    <row r="40" spans="2:16">
      <c r="B40" s="7" t="str">
        <f t="shared" si="13"/>
        <v/>
      </c>
      <c r="C40" s="50">
        <f>IF(D11="","-",+C39+1)</f>
        <v>2047</v>
      </c>
      <c r="D40" s="55">
        <f>IF(F39+SUM(E$17:E39)=D$10,F39,D$10-SUM(E$17:E39))</f>
        <v>3100439.5901846103</v>
      </c>
      <c r="E40" s="56">
        <f t="shared" si="6"/>
        <v>193777.47368421053</v>
      </c>
      <c r="F40" s="55">
        <f t="shared" si="7"/>
        <v>2906662.1165004</v>
      </c>
      <c r="G40" s="57">
        <f t="shared" si="8"/>
        <v>535000.35624927271</v>
      </c>
      <c r="H40" s="42">
        <f t="shared" si="9"/>
        <v>535000.35624927271</v>
      </c>
      <c r="I40" s="52">
        <f t="shared" si="10"/>
        <v>0</v>
      </c>
      <c r="J40" s="52"/>
      <c r="K40" s="115"/>
      <c r="L40" s="54">
        <f t="shared" si="11"/>
        <v>0</v>
      </c>
      <c r="M40" s="115"/>
      <c r="N40" s="54">
        <f t="shared" si="12"/>
        <v>0</v>
      </c>
      <c r="O40" s="54">
        <f t="shared" si="5"/>
        <v>0</v>
      </c>
      <c r="P40" s="1"/>
    </row>
    <row r="41" spans="2:16">
      <c r="B41" s="7" t="str">
        <f t="shared" si="13"/>
        <v/>
      </c>
      <c r="C41" s="50">
        <f>IF(D11="","-",+C40+1)</f>
        <v>2048</v>
      </c>
      <c r="D41" s="55">
        <f>IF(F40+SUM(E$17:E40)=D$10,F40,D$10-SUM(E$17:E40))</f>
        <v>2906662.1165004</v>
      </c>
      <c r="E41" s="56">
        <f t="shared" si="6"/>
        <v>193777.47368421053</v>
      </c>
      <c r="F41" s="55">
        <f t="shared" si="7"/>
        <v>2712884.6428161897</v>
      </c>
      <c r="G41" s="57">
        <f t="shared" si="8"/>
        <v>512985.97681130888</v>
      </c>
      <c r="H41" s="42">
        <f t="shared" si="9"/>
        <v>512985.97681130888</v>
      </c>
      <c r="I41" s="52">
        <f t="shared" si="10"/>
        <v>0</v>
      </c>
      <c r="J41" s="52"/>
      <c r="K41" s="115"/>
      <c r="L41" s="54">
        <f t="shared" si="11"/>
        <v>0</v>
      </c>
      <c r="M41" s="115"/>
      <c r="N41" s="54">
        <f t="shared" si="12"/>
        <v>0</v>
      </c>
      <c r="O41" s="54">
        <f t="shared" si="5"/>
        <v>0</v>
      </c>
      <c r="P41" s="1"/>
    </row>
    <row r="42" spans="2:16">
      <c r="B42" s="7" t="str">
        <f t="shared" si="13"/>
        <v/>
      </c>
      <c r="C42" s="50">
        <f>IF(D11="","-",+C41+1)</f>
        <v>2049</v>
      </c>
      <c r="D42" s="55">
        <f>IF(F41+SUM(E$17:E41)=D$10,F41,D$10-SUM(E$17:E41))</f>
        <v>2712884.6428161897</v>
      </c>
      <c r="E42" s="56">
        <f t="shared" si="6"/>
        <v>193777.47368421053</v>
      </c>
      <c r="F42" s="55">
        <f t="shared" si="7"/>
        <v>2519107.1691319793</v>
      </c>
      <c r="G42" s="57">
        <f t="shared" si="8"/>
        <v>490971.59737334517</v>
      </c>
      <c r="H42" s="42">
        <f t="shared" si="9"/>
        <v>490971.59737334517</v>
      </c>
      <c r="I42" s="52">
        <f t="shared" si="10"/>
        <v>0</v>
      </c>
      <c r="J42" s="52"/>
      <c r="K42" s="115"/>
      <c r="L42" s="54">
        <f t="shared" si="11"/>
        <v>0</v>
      </c>
      <c r="M42" s="115"/>
      <c r="N42" s="54">
        <f t="shared" si="12"/>
        <v>0</v>
      </c>
      <c r="O42" s="54">
        <f t="shared" si="5"/>
        <v>0</v>
      </c>
      <c r="P42" s="1"/>
    </row>
    <row r="43" spans="2:16">
      <c r="B43" s="7" t="str">
        <f t="shared" si="13"/>
        <v/>
      </c>
      <c r="C43" s="50">
        <f>IF(D11="","-",+C42+1)</f>
        <v>2050</v>
      </c>
      <c r="D43" s="55">
        <f>IF(F42+SUM(E$17:E42)=D$10,F42,D$10-SUM(E$17:E42))</f>
        <v>2519107.1691319793</v>
      </c>
      <c r="E43" s="56">
        <f t="shared" si="6"/>
        <v>193777.47368421053</v>
      </c>
      <c r="F43" s="55">
        <f t="shared" si="7"/>
        <v>2325329.695447769</v>
      </c>
      <c r="G43" s="57">
        <f t="shared" si="8"/>
        <v>468957.21793538146</v>
      </c>
      <c r="H43" s="42">
        <f t="shared" si="9"/>
        <v>468957.21793538146</v>
      </c>
      <c r="I43" s="52">
        <f t="shared" si="10"/>
        <v>0</v>
      </c>
      <c r="J43" s="52"/>
      <c r="K43" s="115"/>
      <c r="L43" s="54">
        <f t="shared" si="11"/>
        <v>0</v>
      </c>
      <c r="M43" s="115"/>
      <c r="N43" s="54">
        <f t="shared" si="12"/>
        <v>0</v>
      </c>
      <c r="O43" s="54">
        <f t="shared" si="5"/>
        <v>0</v>
      </c>
      <c r="P43" s="1"/>
    </row>
    <row r="44" spans="2:16">
      <c r="B44" s="7" t="str">
        <f t="shared" si="13"/>
        <v/>
      </c>
      <c r="C44" s="50">
        <f>IF(D11="","-",+C43+1)</f>
        <v>2051</v>
      </c>
      <c r="D44" s="55">
        <f>IF(F43+SUM(E$17:E43)=D$10,F43,D$10-SUM(E$17:E43))</f>
        <v>2325329.695447769</v>
      </c>
      <c r="E44" s="56">
        <f t="shared" si="6"/>
        <v>193777.47368421053</v>
      </c>
      <c r="F44" s="55">
        <f t="shared" si="7"/>
        <v>2131552.2217635587</v>
      </c>
      <c r="G44" s="57">
        <f t="shared" si="8"/>
        <v>446942.83849741763</v>
      </c>
      <c r="H44" s="42">
        <f t="shared" si="9"/>
        <v>446942.83849741763</v>
      </c>
      <c r="I44" s="52">
        <f t="shared" si="10"/>
        <v>0</v>
      </c>
      <c r="J44" s="52"/>
      <c r="K44" s="115"/>
      <c r="L44" s="54">
        <f t="shared" si="11"/>
        <v>0</v>
      </c>
      <c r="M44" s="115"/>
      <c r="N44" s="54">
        <f t="shared" si="12"/>
        <v>0</v>
      </c>
      <c r="O44" s="54">
        <f t="shared" si="5"/>
        <v>0</v>
      </c>
      <c r="P44" s="1"/>
    </row>
    <row r="45" spans="2:16">
      <c r="B45" s="7" t="str">
        <f t="shared" si="13"/>
        <v/>
      </c>
      <c r="C45" s="50">
        <f>IF(D11="","-",+C44+1)</f>
        <v>2052</v>
      </c>
      <c r="D45" s="55">
        <f>IF(F44+SUM(E$17:E44)=D$10,F44,D$10-SUM(E$17:E44))</f>
        <v>2131552.2217635587</v>
      </c>
      <c r="E45" s="56">
        <f t="shared" si="6"/>
        <v>193777.47368421053</v>
      </c>
      <c r="F45" s="55">
        <f t="shared" si="7"/>
        <v>1937774.7480793481</v>
      </c>
      <c r="G45" s="57">
        <f t="shared" si="8"/>
        <v>424928.45905945392</v>
      </c>
      <c r="H45" s="42">
        <f t="shared" si="9"/>
        <v>424928.45905945392</v>
      </c>
      <c r="I45" s="52">
        <f t="shared" si="10"/>
        <v>0</v>
      </c>
      <c r="J45" s="52"/>
      <c r="K45" s="115"/>
      <c r="L45" s="54">
        <f t="shared" si="11"/>
        <v>0</v>
      </c>
      <c r="M45" s="115"/>
      <c r="N45" s="54">
        <f t="shared" si="12"/>
        <v>0</v>
      </c>
      <c r="O45" s="54">
        <f t="shared" si="5"/>
        <v>0</v>
      </c>
      <c r="P45" s="1"/>
    </row>
    <row r="46" spans="2:16">
      <c r="B46" s="7" t="str">
        <f t="shared" si="13"/>
        <v/>
      </c>
      <c r="C46" s="50">
        <f>IF(D11="","-",+C45+1)</f>
        <v>2053</v>
      </c>
      <c r="D46" s="55">
        <f>IF(F45+SUM(E$17:E45)=D$10,F45,D$10-SUM(E$17:E45))</f>
        <v>1937774.7480793481</v>
      </c>
      <c r="E46" s="56">
        <f t="shared" si="6"/>
        <v>193777.47368421053</v>
      </c>
      <c r="F46" s="55">
        <f t="shared" si="7"/>
        <v>1743997.2743951376</v>
      </c>
      <c r="G46" s="57">
        <f t="shared" si="8"/>
        <v>402914.07962149009</v>
      </c>
      <c r="H46" s="42">
        <f t="shared" si="9"/>
        <v>402914.07962149009</v>
      </c>
      <c r="I46" s="52">
        <f t="shared" si="10"/>
        <v>0</v>
      </c>
      <c r="J46" s="52"/>
      <c r="K46" s="115"/>
      <c r="L46" s="54">
        <f t="shared" si="11"/>
        <v>0</v>
      </c>
      <c r="M46" s="115"/>
      <c r="N46" s="54">
        <f t="shared" si="12"/>
        <v>0</v>
      </c>
      <c r="O46" s="54">
        <f t="shared" si="5"/>
        <v>0</v>
      </c>
      <c r="P46" s="1"/>
    </row>
    <row r="47" spans="2:16">
      <c r="B47" s="7" t="str">
        <f t="shared" si="13"/>
        <v/>
      </c>
      <c r="C47" s="50">
        <f>IF(D11="","-",+C46+1)</f>
        <v>2054</v>
      </c>
      <c r="D47" s="55">
        <f>IF(F46+SUM(E$17:E46)=D$10,F46,D$10-SUM(E$17:E46))</f>
        <v>1743997.2743951376</v>
      </c>
      <c r="E47" s="56">
        <f t="shared" si="6"/>
        <v>193777.47368421053</v>
      </c>
      <c r="F47" s="55">
        <f t="shared" si="7"/>
        <v>1550219.800710927</v>
      </c>
      <c r="G47" s="57">
        <f t="shared" si="8"/>
        <v>380899.70018352638</v>
      </c>
      <c r="H47" s="42">
        <f t="shared" si="9"/>
        <v>380899.70018352638</v>
      </c>
      <c r="I47" s="52">
        <f t="shared" si="10"/>
        <v>0</v>
      </c>
      <c r="J47" s="52"/>
      <c r="K47" s="115"/>
      <c r="L47" s="54">
        <f t="shared" si="11"/>
        <v>0</v>
      </c>
      <c r="M47" s="115"/>
      <c r="N47" s="54">
        <f t="shared" si="12"/>
        <v>0</v>
      </c>
      <c r="O47" s="54">
        <f t="shared" si="5"/>
        <v>0</v>
      </c>
      <c r="P47" s="1"/>
    </row>
    <row r="48" spans="2:16">
      <c r="B48" s="7" t="str">
        <f t="shared" si="13"/>
        <v/>
      </c>
      <c r="C48" s="50">
        <f>IF(D11="","-",+C47+1)</f>
        <v>2055</v>
      </c>
      <c r="D48" s="55">
        <f>IF(F47+SUM(E$17:E47)=D$10,F47,D$10-SUM(E$17:E47))</f>
        <v>1550219.800710927</v>
      </c>
      <c r="E48" s="56">
        <f t="shared" si="6"/>
        <v>193777.47368421053</v>
      </c>
      <c r="F48" s="55">
        <f t="shared" si="7"/>
        <v>1356442.3270267164</v>
      </c>
      <c r="G48" s="57">
        <f t="shared" si="8"/>
        <v>358885.32074556255</v>
      </c>
      <c r="H48" s="42">
        <f t="shared" si="9"/>
        <v>358885.32074556255</v>
      </c>
      <c r="I48" s="52">
        <f t="shared" si="10"/>
        <v>0</v>
      </c>
      <c r="J48" s="52"/>
      <c r="K48" s="115"/>
      <c r="L48" s="54">
        <f t="shared" si="11"/>
        <v>0</v>
      </c>
      <c r="M48" s="115"/>
      <c r="N48" s="54">
        <f t="shared" si="12"/>
        <v>0</v>
      </c>
      <c r="O48" s="54">
        <f t="shared" si="5"/>
        <v>0</v>
      </c>
      <c r="P48" s="1"/>
    </row>
    <row r="49" spans="2:16">
      <c r="B49" s="7" t="str">
        <f t="shared" si="13"/>
        <v/>
      </c>
      <c r="C49" s="50">
        <f>IF(D11="","-",+C48+1)</f>
        <v>2056</v>
      </c>
      <c r="D49" s="55">
        <f>IF(F48+SUM(E$17:E48)=D$10,F48,D$10-SUM(E$17:E48))</f>
        <v>1356442.3270267164</v>
      </c>
      <c r="E49" s="56">
        <f t="shared" si="6"/>
        <v>193777.47368421053</v>
      </c>
      <c r="F49" s="55">
        <f t="shared" si="7"/>
        <v>1162664.8533425059</v>
      </c>
      <c r="G49" s="57">
        <f t="shared" si="8"/>
        <v>336870.94130759884</v>
      </c>
      <c r="H49" s="42">
        <f t="shared" si="9"/>
        <v>336870.94130759884</v>
      </c>
      <c r="I49" s="52">
        <f t="shared" si="10"/>
        <v>0</v>
      </c>
      <c r="J49" s="52"/>
      <c r="K49" s="115"/>
      <c r="L49" s="54">
        <f t="shared" si="11"/>
        <v>0</v>
      </c>
      <c r="M49" s="115"/>
      <c r="N49" s="54">
        <f t="shared" si="12"/>
        <v>0</v>
      </c>
      <c r="O49" s="54">
        <f t="shared" si="5"/>
        <v>0</v>
      </c>
      <c r="P49" s="1"/>
    </row>
    <row r="50" spans="2:16">
      <c r="B50" s="7" t="str">
        <f t="shared" si="13"/>
        <v/>
      </c>
      <c r="C50" s="50">
        <f>IF(D11="","-",+C49+1)</f>
        <v>2057</v>
      </c>
      <c r="D50" s="55">
        <f>IF(F49+SUM(E$17:E49)=D$10,F49,D$10-SUM(E$17:E49))</f>
        <v>1162664.8533425059</v>
      </c>
      <c r="E50" s="56">
        <f t="shared" si="6"/>
        <v>193777.47368421053</v>
      </c>
      <c r="F50" s="55">
        <f t="shared" si="7"/>
        <v>968887.37965829531</v>
      </c>
      <c r="G50" s="57">
        <f t="shared" si="8"/>
        <v>314856.56186963501</v>
      </c>
      <c r="H50" s="42">
        <f t="shared" si="9"/>
        <v>314856.56186963501</v>
      </c>
      <c r="I50" s="52">
        <f t="shared" si="10"/>
        <v>0</v>
      </c>
      <c r="J50" s="52"/>
      <c r="K50" s="115"/>
      <c r="L50" s="54">
        <f t="shared" si="11"/>
        <v>0</v>
      </c>
      <c r="M50" s="115"/>
      <c r="N50" s="54">
        <f t="shared" si="12"/>
        <v>0</v>
      </c>
      <c r="O50" s="54">
        <f t="shared" si="5"/>
        <v>0</v>
      </c>
      <c r="P50" s="1"/>
    </row>
    <row r="51" spans="2:16">
      <c r="B51" s="7" t="str">
        <f t="shared" si="13"/>
        <v/>
      </c>
      <c r="C51" s="50">
        <f>IF(D11="","-",+C50+1)</f>
        <v>2058</v>
      </c>
      <c r="D51" s="55">
        <f>IF(F50+SUM(E$17:E50)=D$10,F50,D$10-SUM(E$17:E50))</f>
        <v>968887.37965829531</v>
      </c>
      <c r="E51" s="56">
        <f t="shared" si="6"/>
        <v>193777.47368421053</v>
      </c>
      <c r="F51" s="55">
        <f t="shared" si="7"/>
        <v>775109.90597408474</v>
      </c>
      <c r="G51" s="57">
        <f t="shared" si="8"/>
        <v>292842.18243167124</v>
      </c>
      <c r="H51" s="42">
        <f t="shared" si="9"/>
        <v>292842.18243167124</v>
      </c>
      <c r="I51" s="52">
        <f t="shared" si="10"/>
        <v>0</v>
      </c>
      <c r="J51" s="52"/>
      <c r="K51" s="115"/>
      <c r="L51" s="54">
        <f t="shared" si="11"/>
        <v>0</v>
      </c>
      <c r="M51" s="115"/>
      <c r="N51" s="54">
        <f t="shared" si="12"/>
        <v>0</v>
      </c>
      <c r="O51" s="54">
        <f t="shared" si="5"/>
        <v>0</v>
      </c>
      <c r="P51" s="1"/>
    </row>
    <row r="52" spans="2:16">
      <c r="B52" s="7" t="str">
        <f t="shared" si="13"/>
        <v/>
      </c>
      <c r="C52" s="50">
        <f>IF(D11="","-",+C51+1)</f>
        <v>2059</v>
      </c>
      <c r="D52" s="55">
        <f>IF(F51+SUM(E$17:E51)=D$10,F51,D$10-SUM(E$17:E51))</f>
        <v>775109.90597408474</v>
      </c>
      <c r="E52" s="56">
        <f t="shared" si="6"/>
        <v>193777.47368421053</v>
      </c>
      <c r="F52" s="55">
        <f t="shared" si="7"/>
        <v>581332.43228987418</v>
      </c>
      <c r="G52" s="57">
        <f t="shared" si="8"/>
        <v>270827.80299370748</v>
      </c>
      <c r="H52" s="42">
        <f t="shared" si="9"/>
        <v>270827.80299370748</v>
      </c>
      <c r="I52" s="52">
        <f t="shared" si="10"/>
        <v>0</v>
      </c>
      <c r="J52" s="52"/>
      <c r="K52" s="115"/>
      <c r="L52" s="54">
        <f t="shared" si="11"/>
        <v>0</v>
      </c>
      <c r="M52" s="115"/>
      <c r="N52" s="54">
        <f t="shared" si="12"/>
        <v>0</v>
      </c>
      <c r="O52" s="54">
        <f t="shared" si="5"/>
        <v>0</v>
      </c>
      <c r="P52" s="1"/>
    </row>
    <row r="53" spans="2:16">
      <c r="B53" s="7" t="str">
        <f t="shared" si="13"/>
        <v/>
      </c>
      <c r="C53" s="50">
        <f>IF(D11="","-",+C52+1)</f>
        <v>2060</v>
      </c>
      <c r="D53" s="55">
        <f>IF(F52+SUM(E$17:E52)=D$10,F52,D$10-SUM(E$17:E52))</f>
        <v>581332.43228987418</v>
      </c>
      <c r="E53" s="56">
        <f t="shared" si="6"/>
        <v>193777.47368421053</v>
      </c>
      <c r="F53" s="55">
        <f t="shared" si="7"/>
        <v>387554.95860566362</v>
      </c>
      <c r="G53" s="57">
        <f t="shared" si="8"/>
        <v>248813.42355574371</v>
      </c>
      <c r="H53" s="42">
        <f t="shared" si="9"/>
        <v>248813.42355574371</v>
      </c>
      <c r="I53" s="52">
        <f t="shared" si="10"/>
        <v>0</v>
      </c>
      <c r="J53" s="52"/>
      <c r="K53" s="115"/>
      <c r="L53" s="54">
        <f t="shared" si="11"/>
        <v>0</v>
      </c>
      <c r="M53" s="115"/>
      <c r="N53" s="54">
        <f t="shared" si="12"/>
        <v>0</v>
      </c>
      <c r="O53" s="54">
        <f t="shared" si="5"/>
        <v>0</v>
      </c>
      <c r="P53" s="1"/>
    </row>
    <row r="54" spans="2:16">
      <c r="B54" s="7" t="str">
        <f t="shared" si="13"/>
        <v/>
      </c>
      <c r="C54" s="50">
        <f>IF(D11="","-",+C53+1)</f>
        <v>2061</v>
      </c>
      <c r="D54" s="55">
        <f>IF(F53+SUM(E$17:E53)=D$10,F53,D$10-SUM(E$17:E53))</f>
        <v>387554.95860566362</v>
      </c>
      <c r="E54" s="56">
        <f t="shared" si="6"/>
        <v>193777.47368421053</v>
      </c>
      <c r="F54" s="55">
        <f t="shared" si="7"/>
        <v>193777.48492145308</v>
      </c>
      <c r="G54" s="57">
        <f t="shared" si="8"/>
        <v>226799.04411777994</v>
      </c>
      <c r="H54" s="42">
        <f t="shared" si="9"/>
        <v>226799.04411777994</v>
      </c>
      <c r="I54" s="52">
        <f t="shared" si="10"/>
        <v>0</v>
      </c>
      <c r="J54" s="52"/>
      <c r="K54" s="115"/>
      <c r="L54" s="54">
        <f t="shared" si="11"/>
        <v>0</v>
      </c>
      <c r="M54" s="115"/>
      <c r="N54" s="54">
        <f t="shared" si="12"/>
        <v>0</v>
      </c>
      <c r="O54" s="54">
        <f t="shared" si="5"/>
        <v>0</v>
      </c>
      <c r="P54" s="1"/>
    </row>
    <row r="55" spans="2:16">
      <c r="B55" s="7" t="str">
        <f t="shared" si="13"/>
        <v/>
      </c>
      <c r="C55" s="50">
        <f>IF(D11="","-",+C54+1)</f>
        <v>2062</v>
      </c>
      <c r="D55" s="55">
        <f>IF(F54+SUM(E$17:E54)=D$10,F54,D$10-SUM(E$17:E54))</f>
        <v>193777.48492145308</v>
      </c>
      <c r="E55" s="56">
        <f t="shared" si="6"/>
        <v>193777.47368421053</v>
      </c>
      <c r="F55" s="55">
        <f t="shared" si="7"/>
        <v>1.1237242550123483E-2</v>
      </c>
      <c r="G55" s="57">
        <f t="shared" si="8"/>
        <v>204784.66467981614</v>
      </c>
      <c r="H55" s="42">
        <f t="shared" si="9"/>
        <v>204784.66467981614</v>
      </c>
      <c r="I55" s="52">
        <f t="shared" si="10"/>
        <v>0</v>
      </c>
      <c r="J55" s="52"/>
      <c r="K55" s="115"/>
      <c r="L55" s="54">
        <f t="shared" si="11"/>
        <v>0</v>
      </c>
      <c r="M55" s="115"/>
      <c r="N55" s="54">
        <f t="shared" si="12"/>
        <v>0</v>
      </c>
      <c r="O55" s="54">
        <f t="shared" si="5"/>
        <v>0</v>
      </c>
      <c r="P55" s="1"/>
    </row>
    <row r="56" spans="2:16">
      <c r="B56" s="7" t="str">
        <f t="shared" si="13"/>
        <v/>
      </c>
      <c r="C56" s="50">
        <f>IF(D11="","-",+C55+1)</f>
        <v>2063</v>
      </c>
      <c r="D56" s="55">
        <f>IF(F55+SUM(E$17:E55)=D$10,F55,D$10-SUM(E$17:E55))</f>
        <v>1.1237242550123483E-2</v>
      </c>
      <c r="E56" s="56">
        <f t="shared" si="6"/>
        <v>1.1237242550123483E-2</v>
      </c>
      <c r="F56" s="55">
        <f t="shared" si="7"/>
        <v>0</v>
      </c>
      <c r="G56" s="57">
        <f t="shared" si="8"/>
        <v>1.187555441535606E-2</v>
      </c>
      <c r="H56" s="42">
        <f t="shared" si="9"/>
        <v>1.187555441535606E-2</v>
      </c>
      <c r="I56" s="52">
        <f t="shared" si="10"/>
        <v>0</v>
      </c>
      <c r="J56" s="52"/>
      <c r="K56" s="115"/>
      <c r="L56" s="54">
        <f t="shared" si="11"/>
        <v>0</v>
      </c>
      <c r="M56" s="115"/>
      <c r="N56" s="54">
        <f t="shared" si="12"/>
        <v>0</v>
      </c>
      <c r="O56" s="54">
        <f t="shared" si="5"/>
        <v>0</v>
      </c>
      <c r="P56" s="1"/>
    </row>
    <row r="57" spans="2:16">
      <c r="B57" s="7" t="str">
        <f t="shared" si="13"/>
        <v/>
      </c>
      <c r="C57" s="50">
        <f>IF(D11="","-",+C56+1)</f>
        <v>2064</v>
      </c>
      <c r="D57" s="55">
        <f>IF(F56+SUM(E$17:E56)=D$10,F56,D$10-SUM(E$17:E56))</f>
        <v>0</v>
      </c>
      <c r="E57" s="56">
        <f t="shared" si="6"/>
        <v>0</v>
      </c>
      <c r="F57" s="55">
        <f t="shared" si="7"/>
        <v>0</v>
      </c>
      <c r="G57" s="57">
        <f t="shared" si="8"/>
        <v>0</v>
      </c>
      <c r="H57" s="42">
        <f t="shared" si="9"/>
        <v>0</v>
      </c>
      <c r="I57" s="52">
        <f t="shared" si="10"/>
        <v>0</v>
      </c>
      <c r="J57" s="52"/>
      <c r="K57" s="115"/>
      <c r="L57" s="54">
        <f t="shared" si="11"/>
        <v>0</v>
      </c>
      <c r="M57" s="115"/>
      <c r="N57" s="54">
        <f t="shared" si="12"/>
        <v>0</v>
      </c>
      <c r="O57" s="54">
        <f t="shared" si="5"/>
        <v>0</v>
      </c>
      <c r="P57" s="1"/>
    </row>
    <row r="58" spans="2:16">
      <c r="B58" s="7" t="str">
        <f t="shared" si="13"/>
        <v/>
      </c>
      <c r="C58" s="50">
        <f>IF(D11="","-",+C57+1)</f>
        <v>2065</v>
      </c>
      <c r="D58" s="55">
        <f>IF(F57+SUM(E$17:E57)=D$10,F57,D$10-SUM(E$17:E57))</f>
        <v>0</v>
      </c>
      <c r="E58" s="56">
        <f t="shared" si="6"/>
        <v>0</v>
      </c>
      <c r="F58" s="55">
        <f t="shared" si="7"/>
        <v>0</v>
      </c>
      <c r="G58" s="57">
        <f t="shared" si="8"/>
        <v>0</v>
      </c>
      <c r="H58" s="42">
        <f t="shared" si="9"/>
        <v>0</v>
      </c>
      <c r="I58" s="52">
        <f t="shared" si="10"/>
        <v>0</v>
      </c>
      <c r="J58" s="52"/>
      <c r="K58" s="115"/>
      <c r="L58" s="54">
        <f t="shared" si="11"/>
        <v>0</v>
      </c>
      <c r="M58" s="115"/>
      <c r="N58" s="54">
        <f t="shared" si="12"/>
        <v>0</v>
      </c>
      <c r="O58" s="54">
        <f t="shared" si="5"/>
        <v>0</v>
      </c>
      <c r="P58" s="1"/>
    </row>
    <row r="59" spans="2:16">
      <c r="B59" s="7" t="str">
        <f t="shared" si="13"/>
        <v/>
      </c>
      <c r="C59" s="50">
        <f>IF(D11="","-",+C58+1)</f>
        <v>2066</v>
      </c>
      <c r="D59" s="55">
        <f>IF(F58+SUM(E$17:E58)=D$10,F58,D$10-SUM(E$17:E58))</f>
        <v>0</v>
      </c>
      <c r="E59" s="56">
        <f t="shared" si="6"/>
        <v>0</v>
      </c>
      <c r="F59" s="55">
        <f t="shared" si="7"/>
        <v>0</v>
      </c>
      <c r="G59" s="57">
        <f t="shared" si="8"/>
        <v>0</v>
      </c>
      <c r="H59" s="42">
        <f t="shared" si="9"/>
        <v>0</v>
      </c>
      <c r="I59" s="52">
        <f t="shared" si="10"/>
        <v>0</v>
      </c>
      <c r="J59" s="52"/>
      <c r="K59" s="115"/>
      <c r="L59" s="54">
        <f t="shared" si="11"/>
        <v>0</v>
      </c>
      <c r="M59" s="115"/>
      <c r="N59" s="54">
        <f t="shared" si="12"/>
        <v>0</v>
      </c>
      <c r="O59" s="54">
        <f t="shared" si="5"/>
        <v>0</v>
      </c>
      <c r="P59" s="1"/>
    </row>
    <row r="60" spans="2:16">
      <c r="B60" s="7" t="str">
        <f t="shared" si="13"/>
        <v/>
      </c>
      <c r="C60" s="50">
        <f>IF(D11="","-",+C59+1)</f>
        <v>2067</v>
      </c>
      <c r="D60" s="55">
        <f>IF(F59+SUM(E$17:E59)=D$10,F59,D$10-SUM(E$17:E59))</f>
        <v>0</v>
      </c>
      <c r="E60" s="56">
        <f t="shared" si="6"/>
        <v>0</v>
      </c>
      <c r="F60" s="55">
        <f t="shared" si="7"/>
        <v>0</v>
      </c>
      <c r="G60" s="57">
        <f t="shared" si="8"/>
        <v>0</v>
      </c>
      <c r="H60" s="42">
        <f t="shared" si="9"/>
        <v>0</v>
      </c>
      <c r="I60" s="52">
        <f t="shared" si="10"/>
        <v>0</v>
      </c>
      <c r="J60" s="52"/>
      <c r="K60" s="115"/>
      <c r="L60" s="54">
        <f t="shared" si="11"/>
        <v>0</v>
      </c>
      <c r="M60" s="115"/>
      <c r="N60" s="54">
        <f t="shared" si="12"/>
        <v>0</v>
      </c>
      <c r="O60" s="54">
        <f t="shared" si="5"/>
        <v>0</v>
      </c>
      <c r="P60" s="1"/>
    </row>
    <row r="61" spans="2:16">
      <c r="B61" s="7" t="str">
        <f t="shared" si="13"/>
        <v/>
      </c>
      <c r="C61" s="50">
        <f>IF(D11="","-",+C60+1)</f>
        <v>2068</v>
      </c>
      <c r="D61" s="55">
        <f>IF(F60+SUM(E$17:E60)=D$10,F60,D$10-SUM(E$17:E60))</f>
        <v>0</v>
      </c>
      <c r="E61" s="56">
        <f t="shared" si="6"/>
        <v>0</v>
      </c>
      <c r="F61" s="55">
        <f t="shared" si="7"/>
        <v>0</v>
      </c>
      <c r="G61" s="57">
        <f t="shared" si="8"/>
        <v>0</v>
      </c>
      <c r="H61" s="42">
        <f t="shared" si="9"/>
        <v>0</v>
      </c>
      <c r="I61" s="52">
        <f t="shared" si="10"/>
        <v>0</v>
      </c>
      <c r="J61" s="52"/>
      <c r="K61" s="115"/>
      <c r="L61" s="54">
        <f t="shared" si="11"/>
        <v>0</v>
      </c>
      <c r="M61" s="115"/>
      <c r="N61" s="54">
        <f t="shared" si="12"/>
        <v>0</v>
      </c>
      <c r="O61" s="54">
        <f t="shared" si="5"/>
        <v>0</v>
      </c>
      <c r="P61" s="1"/>
    </row>
    <row r="62" spans="2:16">
      <c r="B62" s="7" t="str">
        <f t="shared" si="13"/>
        <v/>
      </c>
      <c r="C62" s="50">
        <f>IF(D11="","-",+C61+1)</f>
        <v>2069</v>
      </c>
      <c r="D62" s="55">
        <f>IF(F61+SUM(E$17:E61)=D$10,F61,D$10-SUM(E$17:E61))</f>
        <v>0</v>
      </c>
      <c r="E62" s="56">
        <f t="shared" si="6"/>
        <v>0</v>
      </c>
      <c r="F62" s="55">
        <f t="shared" si="7"/>
        <v>0</v>
      </c>
      <c r="G62" s="57">
        <f t="shared" si="8"/>
        <v>0</v>
      </c>
      <c r="H62" s="42">
        <f t="shared" si="9"/>
        <v>0</v>
      </c>
      <c r="I62" s="52">
        <f t="shared" si="10"/>
        <v>0</v>
      </c>
      <c r="J62" s="52"/>
      <c r="K62" s="115"/>
      <c r="L62" s="54">
        <f t="shared" si="11"/>
        <v>0</v>
      </c>
      <c r="M62" s="115"/>
      <c r="N62" s="54">
        <f t="shared" si="12"/>
        <v>0</v>
      </c>
      <c r="O62" s="54">
        <f t="shared" si="5"/>
        <v>0</v>
      </c>
      <c r="P62" s="1"/>
    </row>
    <row r="63" spans="2:16">
      <c r="B63" s="7" t="str">
        <f t="shared" si="13"/>
        <v/>
      </c>
      <c r="C63" s="50">
        <f>IF(D11="","-",+C62+1)</f>
        <v>2070</v>
      </c>
      <c r="D63" s="55">
        <f>IF(F62+SUM(E$17:E62)=D$10,F62,D$10-SUM(E$17:E62))</f>
        <v>0</v>
      </c>
      <c r="E63" s="56">
        <f t="shared" si="6"/>
        <v>0</v>
      </c>
      <c r="F63" s="55">
        <f t="shared" si="7"/>
        <v>0</v>
      </c>
      <c r="G63" s="57">
        <f t="shared" si="8"/>
        <v>0</v>
      </c>
      <c r="H63" s="42">
        <f t="shared" si="9"/>
        <v>0</v>
      </c>
      <c r="I63" s="52">
        <f t="shared" si="10"/>
        <v>0</v>
      </c>
      <c r="J63" s="52"/>
      <c r="K63" s="115"/>
      <c r="L63" s="54">
        <f t="shared" si="11"/>
        <v>0</v>
      </c>
      <c r="M63" s="115"/>
      <c r="N63" s="54">
        <f t="shared" si="12"/>
        <v>0</v>
      </c>
      <c r="O63" s="54">
        <f t="shared" si="5"/>
        <v>0</v>
      </c>
      <c r="P63" s="1"/>
    </row>
    <row r="64" spans="2:16">
      <c r="B64" s="7" t="str">
        <f t="shared" si="13"/>
        <v/>
      </c>
      <c r="C64" s="50">
        <f>IF(D11="","-",+C63+1)</f>
        <v>2071</v>
      </c>
      <c r="D64" s="55">
        <f>IF(F63+SUM(E$17:E63)=D$10,F63,D$10-SUM(E$17:E63))</f>
        <v>0</v>
      </c>
      <c r="E64" s="56">
        <f t="shared" si="6"/>
        <v>0</v>
      </c>
      <c r="F64" s="55">
        <f t="shared" si="7"/>
        <v>0</v>
      </c>
      <c r="G64" s="57">
        <f t="shared" si="8"/>
        <v>0</v>
      </c>
      <c r="H64" s="42">
        <f t="shared" si="9"/>
        <v>0</v>
      </c>
      <c r="I64" s="52">
        <f t="shared" si="10"/>
        <v>0</v>
      </c>
      <c r="J64" s="52"/>
      <c r="K64" s="115"/>
      <c r="L64" s="54">
        <f t="shared" si="11"/>
        <v>0</v>
      </c>
      <c r="M64" s="115"/>
      <c r="N64" s="54">
        <f t="shared" si="12"/>
        <v>0</v>
      </c>
      <c r="O64" s="54">
        <f t="shared" si="5"/>
        <v>0</v>
      </c>
      <c r="P64" s="1"/>
    </row>
    <row r="65" spans="2:16">
      <c r="B65" s="7" t="str">
        <f t="shared" si="13"/>
        <v/>
      </c>
      <c r="C65" s="50">
        <f>IF(D11="","-",+C64+1)</f>
        <v>2072</v>
      </c>
      <c r="D65" s="55">
        <f>IF(F64+SUM(E$17:E64)=D$10,F64,D$10-SUM(E$17:E64))</f>
        <v>0</v>
      </c>
      <c r="E65" s="56">
        <f t="shared" si="6"/>
        <v>0</v>
      </c>
      <c r="F65" s="55">
        <f t="shared" si="7"/>
        <v>0</v>
      </c>
      <c r="G65" s="57">
        <f t="shared" si="8"/>
        <v>0</v>
      </c>
      <c r="H65" s="42">
        <f t="shared" si="9"/>
        <v>0</v>
      </c>
      <c r="I65" s="52">
        <f t="shared" si="10"/>
        <v>0</v>
      </c>
      <c r="J65" s="52"/>
      <c r="K65" s="115"/>
      <c r="L65" s="54">
        <f t="shared" si="11"/>
        <v>0</v>
      </c>
      <c r="M65" s="115"/>
      <c r="N65" s="54">
        <f t="shared" si="12"/>
        <v>0</v>
      </c>
      <c r="O65" s="54">
        <f t="shared" si="5"/>
        <v>0</v>
      </c>
      <c r="P65" s="1"/>
    </row>
    <row r="66" spans="2:16">
      <c r="B66" s="7" t="str">
        <f t="shared" si="13"/>
        <v/>
      </c>
      <c r="C66" s="50">
        <f>IF(D11="","-",+C65+1)</f>
        <v>2073</v>
      </c>
      <c r="D66" s="55">
        <f>IF(F65+SUM(E$17:E65)=D$10,F65,D$10-SUM(E$17:E65))</f>
        <v>0</v>
      </c>
      <c r="E66" s="56">
        <f t="shared" si="6"/>
        <v>0</v>
      </c>
      <c r="F66" s="55">
        <f t="shared" si="7"/>
        <v>0</v>
      </c>
      <c r="G66" s="57">
        <f t="shared" si="8"/>
        <v>0</v>
      </c>
      <c r="H66" s="42">
        <f t="shared" si="9"/>
        <v>0</v>
      </c>
      <c r="I66" s="52">
        <f t="shared" si="10"/>
        <v>0</v>
      </c>
      <c r="J66" s="52"/>
      <c r="K66" s="115"/>
      <c r="L66" s="54">
        <f t="shared" si="11"/>
        <v>0</v>
      </c>
      <c r="M66" s="115"/>
      <c r="N66" s="54">
        <f t="shared" si="12"/>
        <v>0</v>
      </c>
      <c r="O66" s="54">
        <f t="shared" si="5"/>
        <v>0</v>
      </c>
      <c r="P66" s="1"/>
    </row>
    <row r="67" spans="2:16">
      <c r="B67" s="7" t="str">
        <f t="shared" si="13"/>
        <v/>
      </c>
      <c r="C67" s="50">
        <f>IF(D11="","-",+C66+1)</f>
        <v>2074</v>
      </c>
      <c r="D67" s="55">
        <f>IF(F66+SUM(E$17:E66)=D$10,F66,D$10-SUM(E$17:E66))</f>
        <v>0</v>
      </c>
      <c r="E67" s="56">
        <f t="shared" si="6"/>
        <v>0</v>
      </c>
      <c r="F67" s="55">
        <f t="shared" si="7"/>
        <v>0</v>
      </c>
      <c r="G67" s="57">
        <f t="shared" si="8"/>
        <v>0</v>
      </c>
      <c r="H67" s="42">
        <f t="shared" si="9"/>
        <v>0</v>
      </c>
      <c r="I67" s="52">
        <f t="shared" si="10"/>
        <v>0</v>
      </c>
      <c r="J67" s="52"/>
      <c r="K67" s="115"/>
      <c r="L67" s="54">
        <f t="shared" si="11"/>
        <v>0</v>
      </c>
      <c r="M67" s="115"/>
      <c r="N67" s="54">
        <f t="shared" si="12"/>
        <v>0</v>
      </c>
      <c r="O67" s="54">
        <f t="shared" si="5"/>
        <v>0</v>
      </c>
      <c r="P67" s="1"/>
    </row>
    <row r="68" spans="2:16">
      <c r="B68" s="7" t="str">
        <f t="shared" si="13"/>
        <v/>
      </c>
      <c r="C68" s="50">
        <f>IF(D11="","-",+C67+1)</f>
        <v>2075</v>
      </c>
      <c r="D68" s="55">
        <f>IF(F67+SUM(E$17:E67)=D$10,F67,D$10-SUM(E$17:E67))</f>
        <v>0</v>
      </c>
      <c r="E68" s="56">
        <f t="shared" si="6"/>
        <v>0</v>
      </c>
      <c r="F68" s="55">
        <f t="shared" si="7"/>
        <v>0</v>
      </c>
      <c r="G68" s="57">
        <f t="shared" si="8"/>
        <v>0</v>
      </c>
      <c r="H68" s="42">
        <f t="shared" si="9"/>
        <v>0</v>
      </c>
      <c r="I68" s="52">
        <f t="shared" si="10"/>
        <v>0</v>
      </c>
      <c r="J68" s="52"/>
      <c r="K68" s="115"/>
      <c r="L68" s="54">
        <f t="shared" si="11"/>
        <v>0</v>
      </c>
      <c r="M68" s="115"/>
      <c r="N68" s="54">
        <f t="shared" si="12"/>
        <v>0</v>
      </c>
      <c r="O68" s="54">
        <f t="shared" si="5"/>
        <v>0</v>
      </c>
      <c r="P68" s="1"/>
    </row>
    <row r="69" spans="2:16">
      <c r="B69" s="7" t="str">
        <f t="shared" si="13"/>
        <v/>
      </c>
      <c r="C69" s="50">
        <f>IF(D11="","-",+C68+1)</f>
        <v>2076</v>
      </c>
      <c r="D69" s="55">
        <f>IF(F68+SUM(E$17:E68)=D$10,F68,D$10-SUM(E$17:E68))</f>
        <v>0</v>
      </c>
      <c r="E69" s="56">
        <f t="shared" si="6"/>
        <v>0</v>
      </c>
      <c r="F69" s="55">
        <f t="shared" si="7"/>
        <v>0</v>
      </c>
      <c r="G69" s="57">
        <f t="shared" si="8"/>
        <v>0</v>
      </c>
      <c r="H69" s="42">
        <f t="shared" si="9"/>
        <v>0</v>
      </c>
      <c r="I69" s="52">
        <f t="shared" si="10"/>
        <v>0</v>
      </c>
      <c r="J69" s="52"/>
      <c r="K69" s="115"/>
      <c r="L69" s="54">
        <f t="shared" si="11"/>
        <v>0</v>
      </c>
      <c r="M69" s="115"/>
      <c r="N69" s="54">
        <f t="shared" si="12"/>
        <v>0</v>
      </c>
      <c r="O69" s="54">
        <f t="shared" si="5"/>
        <v>0</v>
      </c>
      <c r="P69" s="1"/>
    </row>
    <row r="70" spans="2:16">
      <c r="B70" s="7" t="str">
        <f t="shared" si="13"/>
        <v/>
      </c>
      <c r="C70" s="50">
        <f>IF(D11="","-",+C69+1)</f>
        <v>2077</v>
      </c>
      <c r="D70" s="55">
        <f>IF(F69+SUM(E$17:E69)=D$10,F69,D$10-SUM(E$17:E69))</f>
        <v>0</v>
      </c>
      <c r="E70" s="56">
        <f t="shared" si="6"/>
        <v>0</v>
      </c>
      <c r="F70" s="55">
        <f t="shared" si="7"/>
        <v>0</v>
      </c>
      <c r="G70" s="57">
        <f t="shared" si="8"/>
        <v>0</v>
      </c>
      <c r="H70" s="42">
        <f t="shared" si="9"/>
        <v>0</v>
      </c>
      <c r="I70" s="52">
        <f t="shared" si="10"/>
        <v>0</v>
      </c>
      <c r="J70" s="52"/>
      <c r="K70" s="115"/>
      <c r="L70" s="54">
        <f t="shared" si="11"/>
        <v>0</v>
      </c>
      <c r="M70" s="115"/>
      <c r="N70" s="54">
        <f t="shared" si="12"/>
        <v>0</v>
      </c>
      <c r="O70" s="54">
        <f t="shared" si="5"/>
        <v>0</v>
      </c>
      <c r="P70" s="1"/>
    </row>
    <row r="71" spans="2:16">
      <c r="B71" s="7" t="str">
        <f t="shared" si="13"/>
        <v/>
      </c>
      <c r="C71" s="50">
        <f>IF(D11="","-",+C70+1)</f>
        <v>2078</v>
      </c>
      <c r="D71" s="55">
        <f>IF(F70+SUM(E$17:E70)=D$10,F70,D$10-SUM(E$17:E70))</f>
        <v>0</v>
      </c>
      <c r="E71" s="56">
        <f t="shared" si="6"/>
        <v>0</v>
      </c>
      <c r="F71" s="55">
        <f t="shared" si="7"/>
        <v>0</v>
      </c>
      <c r="G71" s="57">
        <f t="shared" si="8"/>
        <v>0</v>
      </c>
      <c r="H71" s="42">
        <f t="shared" si="9"/>
        <v>0</v>
      </c>
      <c r="I71" s="52">
        <f t="shared" si="10"/>
        <v>0</v>
      </c>
      <c r="J71" s="52"/>
      <c r="K71" s="115"/>
      <c r="L71" s="54">
        <f t="shared" si="11"/>
        <v>0</v>
      </c>
      <c r="M71" s="115"/>
      <c r="N71" s="54">
        <f t="shared" si="12"/>
        <v>0</v>
      </c>
      <c r="O71" s="54">
        <f t="shared" si="5"/>
        <v>0</v>
      </c>
      <c r="P71" s="1"/>
    </row>
    <row r="72" spans="2:16" ht="13.5" thickBot="1">
      <c r="B72" s="7" t="str">
        <f t="shared" si="13"/>
        <v/>
      </c>
      <c r="C72" s="58">
        <f>IF(D11="","-",+C71+1)</f>
        <v>2079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11"/>
        <v>0</v>
      </c>
      <c r="M72" s="116"/>
      <c r="N72" s="62">
        <f t="shared" si="12"/>
        <v>0</v>
      </c>
      <c r="O72" s="62">
        <f t="shared" si="5"/>
        <v>0</v>
      </c>
      <c r="P72" s="1"/>
    </row>
    <row r="73" spans="2:16">
      <c r="C73" s="12" t="s">
        <v>77</v>
      </c>
      <c r="D73" s="14"/>
      <c r="E73" s="14">
        <f>SUM(E17:E72)</f>
        <v>7363544</v>
      </c>
      <c r="F73" s="14"/>
      <c r="G73" s="14">
        <f>SUM(G17:G72)</f>
        <v>23480341.251335748</v>
      </c>
      <c r="H73" s="14">
        <f>SUM(H17:H72)</f>
        <v>23480341.251335748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32 of 36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5.75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2025</v>
      </c>
      <c r="M86" s="102" t="s">
        <v>8</v>
      </c>
      <c r="N86" s="103" t="s">
        <v>153</v>
      </c>
      <c r="O86" s="104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1019316.6434972463</v>
      </c>
      <c r="N87" s="66">
        <f>IF(J92&lt;D11,0,VLOOKUP(J92,C17:O72,11))</f>
        <v>1019316.6434972463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1221377.7797788228</v>
      </c>
      <c r="N88" s="68">
        <f>IF(J92&lt;D11,0,VLOOKUP(J92,C99:P154,7))</f>
        <v>1221377.7797788228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Catoosa-Blue Circle Rebuild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202061.13628157647</v>
      </c>
      <c r="N89" s="71">
        <f>+N88-N87</f>
        <v>202061.13628157647</v>
      </c>
      <c r="O89" s="72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TP2021281</v>
      </c>
      <c r="E91" s="74" t="str">
        <f>E9</f>
        <v xml:space="preserve">  SPP Project ID = 92114</v>
      </c>
      <c r="F91" s="74"/>
      <c r="G91" s="74"/>
      <c r="H91" s="74"/>
      <c r="I91" s="74"/>
      <c r="J91" s="74"/>
    </row>
    <row r="92" spans="1:16">
      <c r="C92" s="128" t="s">
        <v>226</v>
      </c>
      <c r="D92" s="85">
        <v>8421459.0099999998</v>
      </c>
      <c r="E92" s="1" t="s">
        <v>94</v>
      </c>
      <c r="H92" s="2"/>
      <c r="I92" s="2"/>
      <c r="J92" s="36">
        <f>+'PSO.WS.G.BPU.ATRR.True-up'!M16</f>
        <v>2025</v>
      </c>
      <c r="K92" s="34"/>
      <c r="L92" s="14" t="s">
        <v>95</v>
      </c>
      <c r="P92" s="1"/>
    </row>
    <row r="93" spans="1:16">
      <c r="C93" s="37" t="s">
        <v>53</v>
      </c>
      <c r="D93" s="86">
        <v>2024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85">
        <v>12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14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227607</v>
      </c>
      <c r="K96" s="14"/>
      <c r="L96" s="14"/>
      <c r="M96" s="14"/>
      <c r="N96" s="14"/>
      <c r="O96" s="14"/>
      <c r="P96" s="1"/>
    </row>
    <row r="97" spans="1:16" ht="38.25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281</v>
      </c>
      <c r="I97" s="118" t="s">
        <v>282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>
      <c r="C99" s="50">
        <f>IF(D93= "","-",D93)</f>
        <v>2024</v>
      </c>
      <c r="D99" s="518">
        <v>0</v>
      </c>
      <c r="E99" s="518">
        <v>0</v>
      </c>
      <c r="F99" s="518">
        <v>8000617</v>
      </c>
      <c r="G99" s="518">
        <v>4000308.5</v>
      </c>
      <c r="H99" s="518">
        <v>537316.27635143558</v>
      </c>
      <c r="I99" s="518">
        <v>537316.27635143558</v>
      </c>
      <c r="J99" s="54">
        <v>0</v>
      </c>
      <c r="K99" s="54"/>
      <c r="L99" s="469">
        <f>+H99</f>
        <v>537316.27635143558</v>
      </c>
      <c r="M99" s="469">
        <f t="shared" ref="M99" si="14">IF(L99&lt;&gt;0,+H99-L99,0)</f>
        <v>0</v>
      </c>
      <c r="N99" s="469">
        <f>+I99</f>
        <v>537316.27635143558</v>
      </c>
      <c r="O99" s="469">
        <f t="shared" ref="O99" si="15">IF(N99&lt;&gt;0,+I99-N99,0)</f>
        <v>0</v>
      </c>
      <c r="P99" s="469">
        <f t="shared" ref="P99" si="16">+O99-M99</f>
        <v>0</v>
      </c>
    </row>
    <row r="100" spans="1:16">
      <c r="B100" s="7" t="str">
        <f>IF(D100=F99,"","IU")</f>
        <v>IU</v>
      </c>
      <c r="C100" s="50">
        <f>IF(D93="","-",+C99+1)</f>
        <v>2025</v>
      </c>
      <c r="D100" s="12">
        <f>IF(F99+SUM(E$99:E99)=D$92,F99,D$92-SUM(E$99:E99))</f>
        <v>8421459.0099999998</v>
      </c>
      <c r="E100" s="56">
        <f>IF(+J$96&lt;F99,J$96,D100)</f>
        <v>227607</v>
      </c>
      <c r="F100" s="55">
        <f>+D100-E100</f>
        <v>8193852.0099999998</v>
      </c>
      <c r="G100" s="55">
        <f>+(F100+D100)/2</f>
        <v>8307655.5099999998</v>
      </c>
      <c r="H100" s="113">
        <f t="shared" ref="H100:H154" si="17">+J$94*G100+E100</f>
        <v>1221377.7797788228</v>
      </c>
      <c r="I100" s="122">
        <f t="shared" ref="I100:I154" si="18">+J$95*G100+E100</f>
        <v>1221377.7797788228</v>
      </c>
      <c r="J100" s="54">
        <f t="shared" ref="J100:J130" si="19">+I100-H100</f>
        <v>0</v>
      </c>
      <c r="K100" s="54"/>
      <c r="L100" s="115"/>
      <c r="M100" s="54">
        <f t="shared" ref="M100:M130" si="20">IF(L100&lt;&gt;0,+H100-L100,0)</f>
        <v>0</v>
      </c>
      <c r="N100" s="115"/>
      <c r="O100" s="54">
        <f t="shared" ref="O100:O130" si="21">IF(N100&lt;&gt;0,+I100-N100,0)</f>
        <v>0</v>
      </c>
      <c r="P100" s="54">
        <f t="shared" ref="P100:P130" si="22">+O100-M100</f>
        <v>0</v>
      </c>
    </row>
    <row r="101" spans="1:16">
      <c r="B101" s="7" t="str">
        <f t="shared" ref="B101:B154" si="23">IF(D101=F100,"","IU")</f>
        <v/>
      </c>
      <c r="C101" s="50">
        <f>IF(D93="","-",+C100+1)</f>
        <v>2026</v>
      </c>
      <c r="D101" s="12">
        <f>IF(F100+SUM(E$99:E100)=D$92,F100,D$92-SUM(E$99:E100))</f>
        <v>8193852.0099999998</v>
      </c>
      <c r="E101" s="56">
        <f t="shared" ref="E101:E154" si="24">IF(+J$96&lt;F100,J$96,D101)</f>
        <v>227607</v>
      </c>
      <c r="F101" s="55">
        <f t="shared" ref="F101:F154" si="25">+D101-E101</f>
        <v>7966245.0099999998</v>
      </c>
      <c r="G101" s="55">
        <f t="shared" ref="G101:G154" si="26">+(F101+D101)/2</f>
        <v>8080048.5099999998</v>
      </c>
      <c r="H101" s="113">
        <f t="shared" si="17"/>
        <v>1194151.1831053267</v>
      </c>
      <c r="I101" s="122">
        <f t="shared" si="18"/>
        <v>1194151.1831053267</v>
      </c>
      <c r="J101" s="54">
        <f t="shared" si="19"/>
        <v>0</v>
      </c>
      <c r="K101" s="54"/>
      <c r="L101" s="115"/>
      <c r="M101" s="54">
        <f t="shared" si="20"/>
        <v>0</v>
      </c>
      <c r="N101" s="115"/>
      <c r="O101" s="54">
        <f t="shared" si="21"/>
        <v>0</v>
      </c>
      <c r="P101" s="54">
        <f t="shared" si="22"/>
        <v>0</v>
      </c>
    </row>
    <row r="102" spans="1:16">
      <c r="B102" s="7" t="str">
        <f t="shared" si="23"/>
        <v/>
      </c>
      <c r="C102" s="50">
        <f>IF(D93="","-",+C101+1)</f>
        <v>2027</v>
      </c>
      <c r="D102" s="12">
        <f>IF(F101+SUM(E$99:E101)=D$92,F101,D$92-SUM(E$99:E101))</f>
        <v>7966245.0099999998</v>
      </c>
      <c r="E102" s="56">
        <f t="shared" si="24"/>
        <v>227607</v>
      </c>
      <c r="F102" s="55">
        <f t="shared" si="25"/>
        <v>7738638.0099999998</v>
      </c>
      <c r="G102" s="55">
        <f t="shared" si="26"/>
        <v>7852441.5099999998</v>
      </c>
      <c r="H102" s="113">
        <f t="shared" si="17"/>
        <v>1166924.5864318304</v>
      </c>
      <c r="I102" s="122">
        <f t="shared" si="18"/>
        <v>1166924.5864318304</v>
      </c>
      <c r="J102" s="54">
        <f t="shared" si="19"/>
        <v>0</v>
      </c>
      <c r="K102" s="54"/>
      <c r="L102" s="115"/>
      <c r="M102" s="54">
        <f t="shared" si="20"/>
        <v>0</v>
      </c>
      <c r="N102" s="115"/>
      <c r="O102" s="54">
        <f t="shared" si="21"/>
        <v>0</v>
      </c>
      <c r="P102" s="54">
        <f t="shared" si="22"/>
        <v>0</v>
      </c>
    </row>
    <row r="103" spans="1:16">
      <c r="B103" s="7" t="str">
        <f t="shared" si="23"/>
        <v/>
      </c>
      <c r="C103" s="50">
        <f>IF(D93="","-",+C102+1)</f>
        <v>2028</v>
      </c>
      <c r="D103" s="12">
        <f>IF(F102+SUM(E$99:E102)=D$92,F102,D$92-SUM(E$99:E102))</f>
        <v>7738638.0099999998</v>
      </c>
      <c r="E103" s="56">
        <f t="shared" si="24"/>
        <v>227607</v>
      </c>
      <c r="F103" s="55">
        <f t="shared" si="25"/>
        <v>7511031.0099999998</v>
      </c>
      <c r="G103" s="55">
        <f t="shared" si="26"/>
        <v>7624834.5099999998</v>
      </c>
      <c r="H103" s="113">
        <f t="shared" si="17"/>
        <v>1139697.9897583341</v>
      </c>
      <c r="I103" s="122">
        <f t="shared" si="18"/>
        <v>1139697.9897583341</v>
      </c>
      <c r="J103" s="54">
        <f t="shared" si="19"/>
        <v>0</v>
      </c>
      <c r="K103" s="54"/>
      <c r="L103" s="115"/>
      <c r="M103" s="54">
        <f t="shared" si="20"/>
        <v>0</v>
      </c>
      <c r="N103" s="115"/>
      <c r="O103" s="54">
        <f t="shared" si="21"/>
        <v>0</v>
      </c>
      <c r="P103" s="54">
        <f t="shared" si="22"/>
        <v>0</v>
      </c>
    </row>
    <row r="104" spans="1:16">
      <c r="B104" s="7" t="str">
        <f t="shared" si="23"/>
        <v/>
      </c>
      <c r="C104" s="50">
        <f>IF(D93="","-",+C103+1)</f>
        <v>2029</v>
      </c>
      <c r="D104" s="12">
        <f>IF(F103+SUM(E$99:E103)=D$92,F103,D$92-SUM(E$99:E103))</f>
        <v>7511031.0099999998</v>
      </c>
      <c r="E104" s="56">
        <f t="shared" si="24"/>
        <v>227607</v>
      </c>
      <c r="F104" s="55">
        <f t="shared" si="25"/>
        <v>7283424.0099999998</v>
      </c>
      <c r="G104" s="55">
        <f t="shared" si="26"/>
        <v>7397227.5099999998</v>
      </c>
      <c r="H104" s="113">
        <f t="shared" si="17"/>
        <v>1112471.3930848381</v>
      </c>
      <c r="I104" s="122">
        <f t="shared" si="18"/>
        <v>1112471.3930848381</v>
      </c>
      <c r="J104" s="54">
        <f t="shared" si="19"/>
        <v>0</v>
      </c>
      <c r="K104" s="54"/>
      <c r="L104" s="115"/>
      <c r="M104" s="54">
        <f t="shared" si="20"/>
        <v>0</v>
      </c>
      <c r="N104" s="115"/>
      <c r="O104" s="54">
        <f t="shared" si="21"/>
        <v>0</v>
      </c>
      <c r="P104" s="54">
        <f t="shared" si="22"/>
        <v>0</v>
      </c>
    </row>
    <row r="105" spans="1:16">
      <c r="B105" s="7" t="str">
        <f t="shared" si="23"/>
        <v/>
      </c>
      <c r="C105" s="50">
        <f>IF(D93="","-",+C104+1)</f>
        <v>2030</v>
      </c>
      <c r="D105" s="12">
        <f>IF(F104+SUM(E$99:E104)=D$92,F104,D$92-SUM(E$99:E104))</f>
        <v>7283424.0099999998</v>
      </c>
      <c r="E105" s="56">
        <f t="shared" si="24"/>
        <v>227607</v>
      </c>
      <c r="F105" s="55">
        <f t="shared" si="25"/>
        <v>7055817.0099999998</v>
      </c>
      <c r="G105" s="55">
        <f t="shared" si="26"/>
        <v>7169620.5099999998</v>
      </c>
      <c r="H105" s="113">
        <f t="shared" si="17"/>
        <v>1085244.7964113418</v>
      </c>
      <c r="I105" s="122">
        <f t="shared" si="18"/>
        <v>1085244.7964113418</v>
      </c>
      <c r="J105" s="54">
        <f t="shared" si="19"/>
        <v>0</v>
      </c>
      <c r="K105" s="54"/>
      <c r="L105" s="115"/>
      <c r="M105" s="54">
        <f t="shared" si="20"/>
        <v>0</v>
      </c>
      <c r="N105" s="115"/>
      <c r="O105" s="54">
        <f t="shared" si="21"/>
        <v>0</v>
      </c>
      <c r="P105" s="54">
        <f t="shared" si="22"/>
        <v>0</v>
      </c>
    </row>
    <row r="106" spans="1:16">
      <c r="B106" s="7" t="str">
        <f t="shared" si="23"/>
        <v/>
      </c>
      <c r="C106" s="50">
        <f>IF(D93="","-",+C105+1)</f>
        <v>2031</v>
      </c>
      <c r="D106" s="12">
        <f>IF(F105+SUM(E$99:E105)=D$92,F105,D$92-SUM(E$99:E105))</f>
        <v>7055817.0099999998</v>
      </c>
      <c r="E106" s="56">
        <f t="shared" si="24"/>
        <v>227607</v>
      </c>
      <c r="F106" s="55">
        <f t="shared" si="25"/>
        <v>6828210.0099999998</v>
      </c>
      <c r="G106" s="55">
        <f t="shared" si="26"/>
        <v>6942013.5099999998</v>
      </c>
      <c r="H106" s="113">
        <f t="shared" si="17"/>
        <v>1058018.1997378455</v>
      </c>
      <c r="I106" s="122">
        <f t="shared" si="18"/>
        <v>1058018.1997378455</v>
      </c>
      <c r="J106" s="54">
        <f t="shared" si="19"/>
        <v>0</v>
      </c>
      <c r="K106" s="54"/>
      <c r="L106" s="115"/>
      <c r="M106" s="54">
        <f t="shared" si="20"/>
        <v>0</v>
      </c>
      <c r="N106" s="115"/>
      <c r="O106" s="54">
        <f t="shared" si="21"/>
        <v>0</v>
      </c>
      <c r="P106" s="54">
        <f t="shared" si="22"/>
        <v>0</v>
      </c>
    </row>
    <row r="107" spans="1:16">
      <c r="B107" s="7" t="str">
        <f t="shared" si="23"/>
        <v/>
      </c>
      <c r="C107" s="50">
        <f>IF(D93="","-",+C106+1)</f>
        <v>2032</v>
      </c>
      <c r="D107" s="12">
        <f>IF(F106+SUM(E$99:E106)=D$92,F106,D$92-SUM(E$99:E106))</f>
        <v>6828210.0099999998</v>
      </c>
      <c r="E107" s="56">
        <f t="shared" si="24"/>
        <v>227607</v>
      </c>
      <c r="F107" s="55">
        <f t="shared" si="25"/>
        <v>6600603.0099999998</v>
      </c>
      <c r="G107" s="55">
        <f t="shared" si="26"/>
        <v>6714406.5099999998</v>
      </c>
      <c r="H107" s="113">
        <f t="shared" si="17"/>
        <v>1030791.6030643493</v>
      </c>
      <c r="I107" s="122">
        <f t="shared" si="18"/>
        <v>1030791.6030643493</v>
      </c>
      <c r="J107" s="54">
        <f t="shared" si="19"/>
        <v>0</v>
      </c>
      <c r="K107" s="54"/>
      <c r="L107" s="115"/>
      <c r="M107" s="54">
        <f t="shared" si="20"/>
        <v>0</v>
      </c>
      <c r="N107" s="115"/>
      <c r="O107" s="54">
        <f t="shared" si="21"/>
        <v>0</v>
      </c>
      <c r="P107" s="54">
        <f t="shared" si="22"/>
        <v>0</v>
      </c>
    </row>
    <row r="108" spans="1:16">
      <c r="B108" s="7" t="str">
        <f t="shared" si="23"/>
        <v/>
      </c>
      <c r="C108" s="50">
        <f>IF(D93="","-",+C107+1)</f>
        <v>2033</v>
      </c>
      <c r="D108" s="12">
        <f>IF(F107+SUM(E$99:E107)=D$92,F107,D$92-SUM(E$99:E107))</f>
        <v>6600603.0099999998</v>
      </c>
      <c r="E108" s="56">
        <f t="shared" si="24"/>
        <v>227607</v>
      </c>
      <c r="F108" s="55">
        <f t="shared" si="25"/>
        <v>6372996.0099999998</v>
      </c>
      <c r="G108" s="55">
        <f t="shared" si="26"/>
        <v>6486799.5099999998</v>
      </c>
      <c r="H108" s="113">
        <f t="shared" si="17"/>
        <v>1003565.0063908531</v>
      </c>
      <c r="I108" s="122">
        <f t="shared" si="18"/>
        <v>1003565.0063908531</v>
      </c>
      <c r="J108" s="54">
        <f t="shared" si="19"/>
        <v>0</v>
      </c>
      <c r="K108" s="54"/>
      <c r="L108" s="115"/>
      <c r="M108" s="54">
        <f t="shared" si="20"/>
        <v>0</v>
      </c>
      <c r="N108" s="115"/>
      <c r="O108" s="54">
        <f t="shared" si="21"/>
        <v>0</v>
      </c>
      <c r="P108" s="54">
        <f t="shared" si="22"/>
        <v>0</v>
      </c>
    </row>
    <row r="109" spans="1:16">
      <c r="B109" s="7" t="str">
        <f t="shared" si="23"/>
        <v/>
      </c>
      <c r="C109" s="50">
        <f>IF(D93="","-",+C108+1)</f>
        <v>2034</v>
      </c>
      <c r="D109" s="12">
        <f>IF(F108+SUM(E$99:E108)=D$92,F108,D$92-SUM(E$99:E108))</f>
        <v>6372996.0099999998</v>
      </c>
      <c r="E109" s="56">
        <f t="shared" si="24"/>
        <v>227607</v>
      </c>
      <c r="F109" s="55">
        <f t="shared" si="25"/>
        <v>6145389.0099999998</v>
      </c>
      <c r="G109" s="55">
        <f t="shared" si="26"/>
        <v>6259192.5099999998</v>
      </c>
      <c r="H109" s="113">
        <f t="shared" si="17"/>
        <v>976338.4097173569</v>
      </c>
      <c r="I109" s="122">
        <f t="shared" si="18"/>
        <v>976338.4097173569</v>
      </c>
      <c r="J109" s="54">
        <f t="shared" si="19"/>
        <v>0</v>
      </c>
      <c r="K109" s="54"/>
      <c r="L109" s="115"/>
      <c r="M109" s="54">
        <f t="shared" si="20"/>
        <v>0</v>
      </c>
      <c r="N109" s="115"/>
      <c r="O109" s="54">
        <f t="shared" si="21"/>
        <v>0</v>
      </c>
      <c r="P109" s="54">
        <f t="shared" si="22"/>
        <v>0</v>
      </c>
    </row>
    <row r="110" spans="1:16">
      <c r="B110" s="7" t="str">
        <f t="shared" si="23"/>
        <v/>
      </c>
      <c r="C110" s="50">
        <f>IF(D93="","-",+C109+1)</f>
        <v>2035</v>
      </c>
      <c r="D110" s="12">
        <f>IF(F109+SUM(E$99:E109)=D$92,F109,D$92-SUM(E$99:E109))</f>
        <v>6145389.0099999998</v>
      </c>
      <c r="E110" s="56">
        <f t="shared" si="24"/>
        <v>227607</v>
      </c>
      <c r="F110" s="55">
        <f t="shared" si="25"/>
        <v>5917782.0099999998</v>
      </c>
      <c r="G110" s="55">
        <f t="shared" si="26"/>
        <v>6031585.5099999998</v>
      </c>
      <c r="H110" s="113">
        <f t="shared" si="17"/>
        <v>949111.8130438606</v>
      </c>
      <c r="I110" s="122">
        <f t="shared" si="18"/>
        <v>949111.8130438606</v>
      </c>
      <c r="J110" s="54">
        <f t="shared" si="19"/>
        <v>0</v>
      </c>
      <c r="K110" s="54"/>
      <c r="L110" s="115"/>
      <c r="M110" s="54">
        <f t="shared" si="20"/>
        <v>0</v>
      </c>
      <c r="N110" s="115"/>
      <c r="O110" s="54">
        <f t="shared" si="21"/>
        <v>0</v>
      </c>
      <c r="P110" s="54">
        <f t="shared" si="22"/>
        <v>0</v>
      </c>
    </row>
    <row r="111" spans="1:16">
      <c r="B111" s="7" t="str">
        <f t="shared" si="23"/>
        <v/>
      </c>
      <c r="C111" s="50">
        <f>IF(D93="","-",+C110+1)</f>
        <v>2036</v>
      </c>
      <c r="D111" s="12">
        <f>IF(F110+SUM(E$99:E110)=D$92,F110,D$92-SUM(E$99:E110))</f>
        <v>5917782.0099999998</v>
      </c>
      <c r="E111" s="56">
        <f t="shared" si="24"/>
        <v>227607</v>
      </c>
      <c r="F111" s="55">
        <f t="shared" si="25"/>
        <v>5690175.0099999998</v>
      </c>
      <c r="G111" s="55">
        <f t="shared" si="26"/>
        <v>5803978.5099999998</v>
      </c>
      <c r="H111" s="113">
        <f t="shared" si="17"/>
        <v>921885.21637036442</v>
      </c>
      <c r="I111" s="122">
        <f t="shared" si="18"/>
        <v>921885.21637036442</v>
      </c>
      <c r="J111" s="54">
        <f t="shared" si="19"/>
        <v>0</v>
      </c>
      <c r="K111" s="54"/>
      <c r="L111" s="115"/>
      <c r="M111" s="54">
        <f t="shared" si="20"/>
        <v>0</v>
      </c>
      <c r="N111" s="115"/>
      <c r="O111" s="54">
        <f t="shared" si="21"/>
        <v>0</v>
      </c>
      <c r="P111" s="54">
        <f t="shared" si="22"/>
        <v>0</v>
      </c>
    </row>
    <row r="112" spans="1:16">
      <c r="B112" s="7" t="str">
        <f t="shared" si="23"/>
        <v/>
      </c>
      <c r="C112" s="50">
        <f>IF(D93="","-",+C111+1)</f>
        <v>2037</v>
      </c>
      <c r="D112" s="12">
        <f>IF(F111+SUM(E$99:E111)=D$92,F111,D$92-SUM(E$99:E111))</f>
        <v>5690175.0099999998</v>
      </c>
      <c r="E112" s="56">
        <f t="shared" si="24"/>
        <v>227607</v>
      </c>
      <c r="F112" s="55">
        <f t="shared" si="25"/>
        <v>5462568.0099999998</v>
      </c>
      <c r="G112" s="55">
        <f t="shared" si="26"/>
        <v>5576371.5099999998</v>
      </c>
      <c r="H112" s="113">
        <f t="shared" si="17"/>
        <v>894658.61969686823</v>
      </c>
      <c r="I112" s="122">
        <f t="shared" si="18"/>
        <v>894658.61969686823</v>
      </c>
      <c r="J112" s="54">
        <f t="shared" si="19"/>
        <v>0</v>
      </c>
      <c r="K112" s="54"/>
      <c r="L112" s="115"/>
      <c r="M112" s="54">
        <f t="shared" si="20"/>
        <v>0</v>
      </c>
      <c r="N112" s="115"/>
      <c r="O112" s="54">
        <f t="shared" si="21"/>
        <v>0</v>
      </c>
      <c r="P112" s="54">
        <f t="shared" si="22"/>
        <v>0</v>
      </c>
    </row>
    <row r="113" spans="2:16">
      <c r="B113" s="7" t="str">
        <f t="shared" si="23"/>
        <v/>
      </c>
      <c r="C113" s="50">
        <f>IF(D93="","-",+C112+1)</f>
        <v>2038</v>
      </c>
      <c r="D113" s="12">
        <f>IF(F112+SUM(E$99:E112)=D$92,F112,D$92-SUM(E$99:E112))</f>
        <v>5462568.0099999998</v>
      </c>
      <c r="E113" s="56">
        <f t="shared" si="24"/>
        <v>227607</v>
      </c>
      <c r="F113" s="55">
        <f t="shared" si="25"/>
        <v>5234961.01</v>
      </c>
      <c r="G113" s="55">
        <f t="shared" si="26"/>
        <v>5348764.51</v>
      </c>
      <c r="H113" s="113">
        <f t="shared" si="17"/>
        <v>867432.02302337193</v>
      </c>
      <c r="I113" s="122">
        <f t="shared" si="18"/>
        <v>867432.02302337193</v>
      </c>
      <c r="J113" s="54">
        <f t="shared" si="19"/>
        <v>0</v>
      </c>
      <c r="K113" s="54"/>
      <c r="L113" s="115"/>
      <c r="M113" s="54">
        <f t="shared" si="20"/>
        <v>0</v>
      </c>
      <c r="N113" s="115"/>
      <c r="O113" s="54">
        <f t="shared" si="21"/>
        <v>0</v>
      </c>
      <c r="P113" s="54">
        <f t="shared" si="22"/>
        <v>0</v>
      </c>
    </row>
    <row r="114" spans="2:16">
      <c r="B114" s="7" t="str">
        <f t="shared" si="23"/>
        <v/>
      </c>
      <c r="C114" s="50">
        <f>IF(D93="","-",+C113+1)</f>
        <v>2039</v>
      </c>
      <c r="D114" s="12">
        <f>IF(F113+SUM(E$99:E113)=D$92,F113,D$92-SUM(E$99:E113))</f>
        <v>5234961.01</v>
      </c>
      <c r="E114" s="56">
        <f t="shared" si="24"/>
        <v>227607</v>
      </c>
      <c r="F114" s="55">
        <f t="shared" si="25"/>
        <v>5007354.01</v>
      </c>
      <c r="G114" s="55">
        <f t="shared" si="26"/>
        <v>5121157.51</v>
      </c>
      <c r="H114" s="113">
        <f t="shared" si="17"/>
        <v>840205.42634987575</v>
      </c>
      <c r="I114" s="122">
        <f t="shared" si="18"/>
        <v>840205.42634987575</v>
      </c>
      <c r="J114" s="54">
        <f t="shared" si="19"/>
        <v>0</v>
      </c>
      <c r="K114" s="54"/>
      <c r="L114" s="115"/>
      <c r="M114" s="54">
        <f t="shared" si="20"/>
        <v>0</v>
      </c>
      <c r="N114" s="115"/>
      <c r="O114" s="54">
        <f t="shared" si="21"/>
        <v>0</v>
      </c>
      <c r="P114" s="54">
        <f t="shared" si="22"/>
        <v>0</v>
      </c>
    </row>
    <row r="115" spans="2:16">
      <c r="B115" s="7" t="str">
        <f t="shared" si="23"/>
        <v/>
      </c>
      <c r="C115" s="50">
        <f>IF(D93="","-",+C114+1)</f>
        <v>2040</v>
      </c>
      <c r="D115" s="12">
        <f>IF(F114+SUM(E$99:E114)=D$92,F114,D$92-SUM(E$99:E114))</f>
        <v>5007354.01</v>
      </c>
      <c r="E115" s="56">
        <f t="shared" si="24"/>
        <v>227607</v>
      </c>
      <c r="F115" s="55">
        <f t="shared" si="25"/>
        <v>4779747.01</v>
      </c>
      <c r="G115" s="55">
        <f t="shared" si="26"/>
        <v>4893550.51</v>
      </c>
      <c r="H115" s="113">
        <f t="shared" si="17"/>
        <v>812978.82967637957</v>
      </c>
      <c r="I115" s="122">
        <f t="shared" si="18"/>
        <v>812978.82967637957</v>
      </c>
      <c r="J115" s="54">
        <f t="shared" si="19"/>
        <v>0</v>
      </c>
      <c r="K115" s="54"/>
      <c r="L115" s="115"/>
      <c r="M115" s="54">
        <f t="shared" si="20"/>
        <v>0</v>
      </c>
      <c r="N115" s="115"/>
      <c r="O115" s="54">
        <f t="shared" si="21"/>
        <v>0</v>
      </c>
      <c r="P115" s="54">
        <f t="shared" si="22"/>
        <v>0</v>
      </c>
    </row>
    <row r="116" spans="2:16">
      <c r="B116" s="7" t="str">
        <f t="shared" si="23"/>
        <v/>
      </c>
      <c r="C116" s="50">
        <f>IF(D93="","-",+C115+1)</f>
        <v>2041</v>
      </c>
      <c r="D116" s="12">
        <f>IF(F115+SUM(E$99:E115)=D$92,F115,D$92-SUM(E$99:E115))</f>
        <v>4779747.01</v>
      </c>
      <c r="E116" s="56">
        <f t="shared" si="24"/>
        <v>227607</v>
      </c>
      <c r="F116" s="55">
        <f t="shared" si="25"/>
        <v>4552140.01</v>
      </c>
      <c r="G116" s="55">
        <f t="shared" si="26"/>
        <v>4665943.51</v>
      </c>
      <c r="H116" s="113">
        <f t="shared" si="17"/>
        <v>785752.23300288338</v>
      </c>
      <c r="I116" s="122">
        <f t="shared" si="18"/>
        <v>785752.23300288338</v>
      </c>
      <c r="J116" s="54">
        <f t="shared" si="19"/>
        <v>0</v>
      </c>
      <c r="K116" s="54"/>
      <c r="L116" s="115"/>
      <c r="M116" s="54">
        <f t="shared" si="20"/>
        <v>0</v>
      </c>
      <c r="N116" s="115"/>
      <c r="O116" s="54">
        <f t="shared" si="21"/>
        <v>0</v>
      </c>
      <c r="P116" s="54">
        <f t="shared" si="22"/>
        <v>0</v>
      </c>
    </row>
    <row r="117" spans="2:16">
      <c r="B117" s="7" t="str">
        <f t="shared" si="23"/>
        <v/>
      </c>
      <c r="C117" s="50">
        <f>IF(D93="","-",+C116+1)</f>
        <v>2042</v>
      </c>
      <c r="D117" s="12">
        <f>IF(F116+SUM(E$99:E116)=D$92,F116,D$92-SUM(E$99:E116))</f>
        <v>4552140.01</v>
      </c>
      <c r="E117" s="56">
        <f t="shared" si="24"/>
        <v>227607</v>
      </c>
      <c r="F117" s="55">
        <f t="shared" si="25"/>
        <v>4324533.01</v>
      </c>
      <c r="G117" s="55">
        <f t="shared" si="26"/>
        <v>4438336.51</v>
      </c>
      <c r="H117" s="113">
        <f t="shared" si="17"/>
        <v>758525.63632938708</v>
      </c>
      <c r="I117" s="122">
        <f t="shared" si="18"/>
        <v>758525.63632938708</v>
      </c>
      <c r="J117" s="54">
        <f t="shared" si="19"/>
        <v>0</v>
      </c>
      <c r="K117" s="54"/>
      <c r="L117" s="115"/>
      <c r="M117" s="54">
        <f t="shared" si="20"/>
        <v>0</v>
      </c>
      <c r="N117" s="115"/>
      <c r="O117" s="54">
        <f t="shared" si="21"/>
        <v>0</v>
      </c>
      <c r="P117" s="54">
        <f t="shared" si="22"/>
        <v>0</v>
      </c>
    </row>
    <row r="118" spans="2:16">
      <c r="B118" s="7" t="str">
        <f t="shared" si="23"/>
        <v/>
      </c>
      <c r="C118" s="50">
        <f>IF(D93="","-",+C117+1)</f>
        <v>2043</v>
      </c>
      <c r="D118" s="12">
        <f>IF(F117+SUM(E$99:E117)=D$92,F117,D$92-SUM(E$99:E117))</f>
        <v>4324533.01</v>
      </c>
      <c r="E118" s="56">
        <f t="shared" si="24"/>
        <v>227607</v>
      </c>
      <c r="F118" s="55">
        <f t="shared" si="25"/>
        <v>4096926.01</v>
      </c>
      <c r="G118" s="55">
        <f t="shared" si="26"/>
        <v>4210729.51</v>
      </c>
      <c r="H118" s="113">
        <f t="shared" si="17"/>
        <v>731299.0396558909</v>
      </c>
      <c r="I118" s="122">
        <f t="shared" si="18"/>
        <v>731299.0396558909</v>
      </c>
      <c r="J118" s="54">
        <f t="shared" si="19"/>
        <v>0</v>
      </c>
      <c r="K118" s="54"/>
      <c r="L118" s="115"/>
      <c r="M118" s="54">
        <f t="shared" si="20"/>
        <v>0</v>
      </c>
      <c r="N118" s="115"/>
      <c r="O118" s="54">
        <f t="shared" si="21"/>
        <v>0</v>
      </c>
      <c r="P118" s="54">
        <f t="shared" si="22"/>
        <v>0</v>
      </c>
    </row>
    <row r="119" spans="2:16">
      <c r="B119" s="7" t="str">
        <f t="shared" si="23"/>
        <v/>
      </c>
      <c r="C119" s="50">
        <f>IF(D93="","-",+C118+1)</f>
        <v>2044</v>
      </c>
      <c r="D119" s="12">
        <f>IF(F118+SUM(E$99:E118)=D$92,F118,D$92-SUM(E$99:E118))</f>
        <v>4096926.01</v>
      </c>
      <c r="E119" s="56">
        <f t="shared" si="24"/>
        <v>227607</v>
      </c>
      <c r="F119" s="55">
        <f t="shared" si="25"/>
        <v>3869319.01</v>
      </c>
      <c r="G119" s="55">
        <f t="shared" si="26"/>
        <v>3983122.51</v>
      </c>
      <c r="H119" s="113">
        <f t="shared" si="17"/>
        <v>704072.44298239471</v>
      </c>
      <c r="I119" s="122">
        <f t="shared" si="18"/>
        <v>704072.44298239471</v>
      </c>
      <c r="J119" s="54">
        <f t="shared" si="19"/>
        <v>0</v>
      </c>
      <c r="K119" s="54"/>
      <c r="L119" s="115"/>
      <c r="M119" s="54">
        <f t="shared" si="20"/>
        <v>0</v>
      </c>
      <c r="N119" s="115"/>
      <c r="O119" s="54">
        <f t="shared" si="21"/>
        <v>0</v>
      </c>
      <c r="P119" s="54">
        <f t="shared" si="22"/>
        <v>0</v>
      </c>
    </row>
    <row r="120" spans="2:16">
      <c r="B120" s="7" t="str">
        <f t="shared" si="23"/>
        <v/>
      </c>
      <c r="C120" s="50">
        <f>IF(D93="","-",+C119+1)</f>
        <v>2045</v>
      </c>
      <c r="D120" s="12">
        <f>IF(F119+SUM(E$99:E119)=D$92,F119,D$92-SUM(E$99:E119))</f>
        <v>3869319.01</v>
      </c>
      <c r="E120" s="56">
        <f t="shared" si="24"/>
        <v>227607</v>
      </c>
      <c r="F120" s="55">
        <f t="shared" si="25"/>
        <v>3641712.01</v>
      </c>
      <c r="G120" s="55">
        <f t="shared" si="26"/>
        <v>3755515.51</v>
      </c>
      <c r="H120" s="113">
        <f t="shared" si="17"/>
        <v>676845.84630889841</v>
      </c>
      <c r="I120" s="122">
        <f t="shared" si="18"/>
        <v>676845.84630889841</v>
      </c>
      <c r="J120" s="54">
        <f t="shared" si="19"/>
        <v>0</v>
      </c>
      <c r="K120" s="54"/>
      <c r="L120" s="115"/>
      <c r="M120" s="54">
        <f t="shared" si="20"/>
        <v>0</v>
      </c>
      <c r="N120" s="115"/>
      <c r="O120" s="54">
        <f t="shared" si="21"/>
        <v>0</v>
      </c>
      <c r="P120" s="54">
        <f t="shared" si="22"/>
        <v>0</v>
      </c>
    </row>
    <row r="121" spans="2:16">
      <c r="B121" s="7" t="str">
        <f t="shared" si="23"/>
        <v/>
      </c>
      <c r="C121" s="50">
        <f>IF(D93="","-",+C120+1)</f>
        <v>2046</v>
      </c>
      <c r="D121" s="12">
        <f>IF(F120+SUM(E$99:E120)=D$92,F120,D$92-SUM(E$99:E120))</f>
        <v>3641712.01</v>
      </c>
      <c r="E121" s="56">
        <f t="shared" si="24"/>
        <v>227607</v>
      </c>
      <c r="F121" s="55">
        <f t="shared" si="25"/>
        <v>3414105.01</v>
      </c>
      <c r="G121" s="55">
        <f t="shared" si="26"/>
        <v>3527908.51</v>
      </c>
      <c r="H121" s="113">
        <f t="shared" si="17"/>
        <v>649619.24963540223</v>
      </c>
      <c r="I121" s="122">
        <f t="shared" si="18"/>
        <v>649619.24963540223</v>
      </c>
      <c r="J121" s="54">
        <f t="shared" si="19"/>
        <v>0</v>
      </c>
      <c r="K121" s="54"/>
      <c r="L121" s="115"/>
      <c r="M121" s="54">
        <f t="shared" si="20"/>
        <v>0</v>
      </c>
      <c r="N121" s="115"/>
      <c r="O121" s="54">
        <f t="shared" si="21"/>
        <v>0</v>
      </c>
      <c r="P121" s="54">
        <f t="shared" si="22"/>
        <v>0</v>
      </c>
    </row>
    <row r="122" spans="2:16">
      <c r="B122" s="7" t="str">
        <f t="shared" si="23"/>
        <v/>
      </c>
      <c r="C122" s="50">
        <f>IF(D93="","-",+C121+1)</f>
        <v>2047</v>
      </c>
      <c r="D122" s="12">
        <f>IF(F121+SUM(E$99:E121)=D$92,F121,D$92-SUM(E$99:E121))</f>
        <v>3414105.01</v>
      </c>
      <c r="E122" s="56">
        <f t="shared" si="24"/>
        <v>227607</v>
      </c>
      <c r="F122" s="55">
        <f t="shared" si="25"/>
        <v>3186498.01</v>
      </c>
      <c r="G122" s="55">
        <f t="shared" si="26"/>
        <v>3300301.51</v>
      </c>
      <c r="H122" s="113">
        <f t="shared" si="17"/>
        <v>622392.65296190605</v>
      </c>
      <c r="I122" s="122">
        <f t="shared" si="18"/>
        <v>622392.65296190605</v>
      </c>
      <c r="J122" s="54">
        <f t="shared" si="19"/>
        <v>0</v>
      </c>
      <c r="K122" s="54"/>
      <c r="L122" s="115"/>
      <c r="M122" s="54">
        <f t="shared" si="20"/>
        <v>0</v>
      </c>
      <c r="N122" s="115"/>
      <c r="O122" s="54">
        <f t="shared" si="21"/>
        <v>0</v>
      </c>
      <c r="P122" s="54">
        <f t="shared" si="22"/>
        <v>0</v>
      </c>
    </row>
    <row r="123" spans="2:16">
      <c r="B123" s="7" t="str">
        <f t="shared" si="23"/>
        <v/>
      </c>
      <c r="C123" s="50">
        <f>IF(D93="","-",+C122+1)</f>
        <v>2048</v>
      </c>
      <c r="D123" s="12">
        <f>IF(F122+SUM(E$99:E122)=D$92,F122,D$92-SUM(E$99:E122))</f>
        <v>3186498.01</v>
      </c>
      <c r="E123" s="56">
        <f t="shared" si="24"/>
        <v>227607</v>
      </c>
      <c r="F123" s="55">
        <f t="shared" si="25"/>
        <v>2958891.01</v>
      </c>
      <c r="G123" s="55">
        <f t="shared" si="26"/>
        <v>3072694.51</v>
      </c>
      <c r="H123" s="113">
        <f t="shared" si="17"/>
        <v>595166.05628840975</v>
      </c>
      <c r="I123" s="122">
        <f t="shared" si="18"/>
        <v>595166.05628840975</v>
      </c>
      <c r="J123" s="54">
        <f t="shared" si="19"/>
        <v>0</v>
      </c>
      <c r="K123" s="54"/>
      <c r="L123" s="115"/>
      <c r="M123" s="54">
        <f t="shared" si="20"/>
        <v>0</v>
      </c>
      <c r="N123" s="115"/>
      <c r="O123" s="54">
        <f t="shared" si="21"/>
        <v>0</v>
      </c>
      <c r="P123" s="54">
        <f t="shared" si="22"/>
        <v>0</v>
      </c>
    </row>
    <row r="124" spans="2:16">
      <c r="B124" s="7" t="str">
        <f t="shared" si="23"/>
        <v/>
      </c>
      <c r="C124" s="50">
        <f>IF(D93="","-",+C123+1)</f>
        <v>2049</v>
      </c>
      <c r="D124" s="12">
        <f>IF(F123+SUM(E$99:E123)=D$92,F123,D$92-SUM(E$99:E123))</f>
        <v>2958891.01</v>
      </c>
      <c r="E124" s="56">
        <f t="shared" si="24"/>
        <v>227607</v>
      </c>
      <c r="F124" s="55">
        <f t="shared" si="25"/>
        <v>2731284.01</v>
      </c>
      <c r="G124" s="55">
        <f t="shared" si="26"/>
        <v>2845087.51</v>
      </c>
      <c r="H124" s="113">
        <f t="shared" si="17"/>
        <v>567939.45961491356</v>
      </c>
      <c r="I124" s="122">
        <f t="shared" si="18"/>
        <v>567939.45961491356</v>
      </c>
      <c r="J124" s="54">
        <f t="shared" si="19"/>
        <v>0</v>
      </c>
      <c r="K124" s="54"/>
      <c r="L124" s="115"/>
      <c r="M124" s="54">
        <f t="shared" si="20"/>
        <v>0</v>
      </c>
      <c r="N124" s="115"/>
      <c r="O124" s="54">
        <f t="shared" si="21"/>
        <v>0</v>
      </c>
      <c r="P124" s="54">
        <f t="shared" si="22"/>
        <v>0</v>
      </c>
    </row>
    <row r="125" spans="2:16">
      <c r="B125" s="7" t="str">
        <f t="shared" si="23"/>
        <v/>
      </c>
      <c r="C125" s="50">
        <f>IF(D93="","-",+C124+1)</f>
        <v>2050</v>
      </c>
      <c r="D125" s="12">
        <f>IF(F124+SUM(E$99:E124)=D$92,F124,D$92-SUM(E$99:E124))</f>
        <v>2731284.01</v>
      </c>
      <c r="E125" s="56">
        <f t="shared" si="24"/>
        <v>227607</v>
      </c>
      <c r="F125" s="55">
        <f t="shared" si="25"/>
        <v>2503677.0099999998</v>
      </c>
      <c r="G125" s="55">
        <f t="shared" si="26"/>
        <v>2617480.5099999998</v>
      </c>
      <c r="H125" s="113">
        <f t="shared" si="17"/>
        <v>540712.86294141738</v>
      </c>
      <c r="I125" s="122">
        <f t="shared" si="18"/>
        <v>540712.86294141738</v>
      </c>
      <c r="J125" s="54">
        <f t="shared" si="19"/>
        <v>0</v>
      </c>
      <c r="K125" s="54"/>
      <c r="L125" s="115"/>
      <c r="M125" s="54">
        <f t="shared" si="20"/>
        <v>0</v>
      </c>
      <c r="N125" s="115"/>
      <c r="O125" s="54">
        <f t="shared" si="21"/>
        <v>0</v>
      </c>
      <c r="P125" s="54">
        <f t="shared" si="22"/>
        <v>0</v>
      </c>
    </row>
    <row r="126" spans="2:16">
      <c r="B126" s="7" t="str">
        <f t="shared" si="23"/>
        <v/>
      </c>
      <c r="C126" s="50">
        <f>IF(D93="","-",+C125+1)</f>
        <v>2051</v>
      </c>
      <c r="D126" s="12">
        <f>IF(F125+SUM(E$99:E125)=D$92,F125,D$92-SUM(E$99:E125))</f>
        <v>2503677.0099999998</v>
      </c>
      <c r="E126" s="56">
        <f t="shared" si="24"/>
        <v>227607</v>
      </c>
      <c r="F126" s="55">
        <f t="shared" si="25"/>
        <v>2276070.0099999998</v>
      </c>
      <c r="G126" s="55">
        <f t="shared" si="26"/>
        <v>2389873.5099999998</v>
      </c>
      <c r="H126" s="113">
        <f t="shared" si="17"/>
        <v>513486.26626792114</v>
      </c>
      <c r="I126" s="122">
        <f t="shared" si="18"/>
        <v>513486.26626792114</v>
      </c>
      <c r="J126" s="54">
        <f t="shared" si="19"/>
        <v>0</v>
      </c>
      <c r="K126" s="54"/>
      <c r="L126" s="115"/>
      <c r="M126" s="54">
        <f t="shared" si="20"/>
        <v>0</v>
      </c>
      <c r="N126" s="115"/>
      <c r="O126" s="54">
        <f t="shared" si="21"/>
        <v>0</v>
      </c>
      <c r="P126" s="54">
        <f t="shared" si="22"/>
        <v>0</v>
      </c>
    </row>
    <row r="127" spans="2:16">
      <c r="B127" s="7" t="str">
        <f t="shared" si="23"/>
        <v/>
      </c>
      <c r="C127" s="50">
        <f>IF(D93="","-",+C126+1)</f>
        <v>2052</v>
      </c>
      <c r="D127" s="12">
        <f>IF(F126+SUM(E$99:E126)=D$92,F126,D$92-SUM(E$99:E126))</f>
        <v>2276070.0099999998</v>
      </c>
      <c r="E127" s="56">
        <f t="shared" si="24"/>
        <v>227607</v>
      </c>
      <c r="F127" s="55">
        <f t="shared" si="25"/>
        <v>2048463.0099999998</v>
      </c>
      <c r="G127" s="55">
        <f t="shared" si="26"/>
        <v>2162266.5099999998</v>
      </c>
      <c r="H127" s="113">
        <f t="shared" si="17"/>
        <v>486259.66959442489</v>
      </c>
      <c r="I127" s="122">
        <f t="shared" si="18"/>
        <v>486259.66959442489</v>
      </c>
      <c r="J127" s="54">
        <f t="shared" si="19"/>
        <v>0</v>
      </c>
      <c r="K127" s="54"/>
      <c r="L127" s="115"/>
      <c r="M127" s="54">
        <f t="shared" si="20"/>
        <v>0</v>
      </c>
      <c r="N127" s="115"/>
      <c r="O127" s="54">
        <f t="shared" si="21"/>
        <v>0</v>
      </c>
      <c r="P127" s="54">
        <f t="shared" si="22"/>
        <v>0</v>
      </c>
    </row>
    <row r="128" spans="2:16">
      <c r="B128" s="7" t="str">
        <f t="shared" si="23"/>
        <v/>
      </c>
      <c r="C128" s="50">
        <f>IF(D93="","-",+C127+1)</f>
        <v>2053</v>
      </c>
      <c r="D128" s="12">
        <f>IF(F127+SUM(E$99:E127)=D$92,F127,D$92-SUM(E$99:E127))</f>
        <v>2048463.0099999998</v>
      </c>
      <c r="E128" s="56">
        <f t="shared" si="24"/>
        <v>227607</v>
      </c>
      <c r="F128" s="55">
        <f t="shared" si="25"/>
        <v>1820856.0099999998</v>
      </c>
      <c r="G128" s="55">
        <f t="shared" si="26"/>
        <v>1934659.5099999998</v>
      </c>
      <c r="H128" s="113">
        <f t="shared" si="17"/>
        <v>459033.07292092871</v>
      </c>
      <c r="I128" s="122">
        <f t="shared" si="18"/>
        <v>459033.07292092871</v>
      </c>
      <c r="J128" s="54">
        <f t="shared" si="19"/>
        <v>0</v>
      </c>
      <c r="K128" s="54"/>
      <c r="L128" s="115"/>
      <c r="M128" s="54">
        <f t="shared" si="20"/>
        <v>0</v>
      </c>
      <c r="N128" s="115"/>
      <c r="O128" s="54">
        <f t="shared" si="21"/>
        <v>0</v>
      </c>
      <c r="P128" s="54">
        <f t="shared" si="22"/>
        <v>0</v>
      </c>
    </row>
    <row r="129" spans="2:16">
      <c r="B129" s="7" t="str">
        <f t="shared" si="23"/>
        <v/>
      </c>
      <c r="C129" s="50">
        <f>IF(D93="","-",+C128+1)</f>
        <v>2054</v>
      </c>
      <c r="D129" s="12">
        <f>IF(F128+SUM(E$99:E128)=D$92,F128,D$92-SUM(E$99:E128))</f>
        <v>1820856.0099999998</v>
      </c>
      <c r="E129" s="56">
        <f t="shared" si="24"/>
        <v>227607</v>
      </c>
      <c r="F129" s="55">
        <f t="shared" si="25"/>
        <v>1593249.0099999998</v>
      </c>
      <c r="G129" s="55">
        <f t="shared" si="26"/>
        <v>1707052.5099999998</v>
      </c>
      <c r="H129" s="113">
        <f t="shared" si="17"/>
        <v>431806.47624743247</v>
      </c>
      <c r="I129" s="122">
        <f t="shared" si="18"/>
        <v>431806.47624743247</v>
      </c>
      <c r="J129" s="54">
        <f t="shared" si="19"/>
        <v>0</v>
      </c>
      <c r="K129" s="54"/>
      <c r="L129" s="115"/>
      <c r="M129" s="54">
        <f t="shared" si="20"/>
        <v>0</v>
      </c>
      <c r="N129" s="115"/>
      <c r="O129" s="54">
        <f t="shared" si="21"/>
        <v>0</v>
      </c>
      <c r="P129" s="54">
        <f t="shared" si="22"/>
        <v>0</v>
      </c>
    </row>
    <row r="130" spans="2:16">
      <c r="B130" s="7" t="str">
        <f t="shared" si="23"/>
        <v/>
      </c>
      <c r="C130" s="50">
        <f>IF(D93="","-",+C129+1)</f>
        <v>2055</v>
      </c>
      <c r="D130" s="12">
        <f>IF(F129+SUM(E$99:E129)=D$92,F129,D$92-SUM(E$99:E129))</f>
        <v>1593249.0099999998</v>
      </c>
      <c r="E130" s="56">
        <f t="shared" si="24"/>
        <v>227607</v>
      </c>
      <c r="F130" s="55">
        <f t="shared" si="25"/>
        <v>1365642.0099999998</v>
      </c>
      <c r="G130" s="55">
        <f t="shared" si="26"/>
        <v>1479445.5099999998</v>
      </c>
      <c r="H130" s="113">
        <f t="shared" si="17"/>
        <v>404579.87957393622</v>
      </c>
      <c r="I130" s="122">
        <f t="shared" si="18"/>
        <v>404579.87957393622</v>
      </c>
      <c r="J130" s="54">
        <f t="shared" si="19"/>
        <v>0</v>
      </c>
      <c r="K130" s="54"/>
      <c r="L130" s="115"/>
      <c r="M130" s="54">
        <f t="shared" si="20"/>
        <v>0</v>
      </c>
      <c r="N130" s="115"/>
      <c r="O130" s="54">
        <f t="shared" si="21"/>
        <v>0</v>
      </c>
      <c r="P130" s="54">
        <f t="shared" si="22"/>
        <v>0</v>
      </c>
    </row>
    <row r="131" spans="2:16">
      <c r="B131" s="7" t="str">
        <f t="shared" si="23"/>
        <v/>
      </c>
      <c r="C131" s="50">
        <f>IF(D93="","-",+C130+1)</f>
        <v>2056</v>
      </c>
      <c r="D131" s="12">
        <f>IF(F130+SUM(E$99:E130)=D$92,F130,D$92-SUM(E$99:E130))</f>
        <v>1365642.0099999998</v>
      </c>
      <c r="E131" s="56">
        <f t="shared" si="24"/>
        <v>227607</v>
      </c>
      <c r="F131" s="55">
        <f t="shared" si="25"/>
        <v>1138035.0099999998</v>
      </c>
      <c r="G131" s="55">
        <f t="shared" si="26"/>
        <v>1251838.5099999998</v>
      </c>
      <c r="H131" s="113">
        <f t="shared" si="17"/>
        <v>377353.28290044004</v>
      </c>
      <c r="I131" s="122">
        <f t="shared" si="18"/>
        <v>377353.28290044004</v>
      </c>
      <c r="J131" s="54">
        <f t="shared" ref="J131:J154" si="27">+I541-H541</f>
        <v>0</v>
      </c>
      <c r="K131" s="54"/>
      <c r="L131" s="115"/>
      <c r="M131" s="54">
        <f t="shared" ref="M131:M154" si="28">IF(L541&lt;&gt;0,+H541-L541,0)</f>
        <v>0</v>
      </c>
      <c r="N131" s="115"/>
      <c r="O131" s="54">
        <f t="shared" ref="O131:O154" si="29">IF(N541&lt;&gt;0,+I541-N541,0)</f>
        <v>0</v>
      </c>
      <c r="P131" s="54">
        <f t="shared" ref="P131:P154" si="30">+O541-M541</f>
        <v>0</v>
      </c>
    </row>
    <row r="132" spans="2:16">
      <c r="B132" s="7" t="str">
        <f t="shared" si="23"/>
        <v/>
      </c>
      <c r="C132" s="50">
        <f>IF(D93="","-",+C131+1)</f>
        <v>2057</v>
      </c>
      <c r="D132" s="12">
        <f>IF(F131+SUM(E$99:E131)=D$92,F131,D$92-SUM(E$99:E131))</f>
        <v>1138035.0099999998</v>
      </c>
      <c r="E132" s="56">
        <f t="shared" si="24"/>
        <v>227607</v>
      </c>
      <c r="F132" s="55">
        <f t="shared" si="25"/>
        <v>910428.00999999978</v>
      </c>
      <c r="G132" s="55">
        <f t="shared" si="26"/>
        <v>1024231.5099999998</v>
      </c>
      <c r="H132" s="113">
        <f t="shared" si="17"/>
        <v>350126.68622694386</v>
      </c>
      <c r="I132" s="122">
        <f t="shared" si="18"/>
        <v>350126.68622694386</v>
      </c>
      <c r="J132" s="54">
        <f t="shared" si="27"/>
        <v>0</v>
      </c>
      <c r="K132" s="54"/>
      <c r="L132" s="115"/>
      <c r="M132" s="54">
        <f t="shared" si="28"/>
        <v>0</v>
      </c>
      <c r="N132" s="115"/>
      <c r="O132" s="54">
        <f t="shared" si="29"/>
        <v>0</v>
      </c>
      <c r="P132" s="54">
        <f t="shared" si="30"/>
        <v>0</v>
      </c>
    </row>
    <row r="133" spans="2:16">
      <c r="B133" s="7" t="str">
        <f t="shared" si="23"/>
        <v/>
      </c>
      <c r="C133" s="50">
        <f>IF(D93="","-",+C132+1)</f>
        <v>2058</v>
      </c>
      <c r="D133" s="12">
        <f>IF(F132+SUM(E$99:E132)=D$92,F132,D$92-SUM(E$99:E132))</f>
        <v>910428.00999999978</v>
      </c>
      <c r="E133" s="56">
        <f t="shared" si="24"/>
        <v>227607</v>
      </c>
      <c r="F133" s="55">
        <f t="shared" si="25"/>
        <v>682821.00999999978</v>
      </c>
      <c r="G133" s="55">
        <f t="shared" si="26"/>
        <v>796624.50999999978</v>
      </c>
      <c r="H133" s="113">
        <f t="shared" si="17"/>
        <v>322900.08955344761</v>
      </c>
      <c r="I133" s="122">
        <f t="shared" si="18"/>
        <v>322900.08955344761</v>
      </c>
      <c r="J133" s="54">
        <f t="shared" si="27"/>
        <v>0</v>
      </c>
      <c r="K133" s="54"/>
      <c r="L133" s="115"/>
      <c r="M133" s="54">
        <f t="shared" si="28"/>
        <v>0</v>
      </c>
      <c r="N133" s="115"/>
      <c r="O133" s="54">
        <f t="shared" si="29"/>
        <v>0</v>
      </c>
      <c r="P133" s="54">
        <f t="shared" si="30"/>
        <v>0</v>
      </c>
    </row>
    <row r="134" spans="2:16">
      <c r="B134" s="7" t="str">
        <f t="shared" si="23"/>
        <v/>
      </c>
      <c r="C134" s="50">
        <f>IF(D93="","-",+C133+1)</f>
        <v>2059</v>
      </c>
      <c r="D134" s="12">
        <f>IF(F133+SUM(E$99:E133)=D$92,F133,D$92-SUM(E$99:E133))</f>
        <v>682821.00999999978</v>
      </c>
      <c r="E134" s="56">
        <f t="shared" si="24"/>
        <v>227607</v>
      </c>
      <c r="F134" s="55">
        <f t="shared" si="25"/>
        <v>455214.00999999978</v>
      </c>
      <c r="G134" s="55">
        <f t="shared" si="26"/>
        <v>569017.50999999978</v>
      </c>
      <c r="H134" s="113">
        <f t="shared" si="17"/>
        <v>295673.49287995137</v>
      </c>
      <c r="I134" s="122">
        <f t="shared" si="18"/>
        <v>295673.49287995137</v>
      </c>
      <c r="J134" s="54">
        <f t="shared" si="27"/>
        <v>0</v>
      </c>
      <c r="K134" s="54"/>
      <c r="L134" s="115"/>
      <c r="M134" s="54">
        <f t="shared" si="28"/>
        <v>0</v>
      </c>
      <c r="N134" s="115"/>
      <c r="O134" s="54">
        <f t="shared" si="29"/>
        <v>0</v>
      </c>
      <c r="P134" s="54">
        <f t="shared" si="30"/>
        <v>0</v>
      </c>
    </row>
    <row r="135" spans="2:16">
      <c r="B135" s="7" t="str">
        <f t="shared" si="23"/>
        <v/>
      </c>
      <c r="C135" s="50">
        <f>IF(D93="","-",+C134+1)</f>
        <v>2060</v>
      </c>
      <c r="D135" s="12">
        <f>IF(F134+SUM(E$99:E134)=D$92,F134,D$92-SUM(E$99:E134))</f>
        <v>455214.00999999978</v>
      </c>
      <c r="E135" s="56">
        <f t="shared" si="24"/>
        <v>227607</v>
      </c>
      <c r="F135" s="55">
        <f t="shared" si="25"/>
        <v>227607.00999999978</v>
      </c>
      <c r="G135" s="55">
        <f t="shared" si="26"/>
        <v>341410.50999999978</v>
      </c>
      <c r="H135" s="113">
        <f t="shared" si="17"/>
        <v>268446.89620645519</v>
      </c>
      <c r="I135" s="122">
        <f t="shared" si="18"/>
        <v>268446.89620645519</v>
      </c>
      <c r="J135" s="54">
        <f t="shared" si="27"/>
        <v>0</v>
      </c>
      <c r="K135" s="54"/>
      <c r="L135" s="115"/>
      <c r="M135" s="54">
        <f t="shared" si="28"/>
        <v>0</v>
      </c>
      <c r="N135" s="115"/>
      <c r="O135" s="54">
        <f t="shared" si="29"/>
        <v>0</v>
      </c>
      <c r="P135" s="54">
        <f t="shared" si="30"/>
        <v>0</v>
      </c>
    </row>
    <row r="136" spans="2:16">
      <c r="B136" s="7" t="str">
        <f t="shared" si="23"/>
        <v/>
      </c>
      <c r="C136" s="50">
        <f>IF(D93="","-",+C135+1)</f>
        <v>2061</v>
      </c>
      <c r="D136" s="12">
        <f>IF(F135+SUM(E$99:E135)=D$92,F135,D$92-SUM(E$99:E135))</f>
        <v>227607.00999999978</v>
      </c>
      <c r="E136" s="56">
        <f t="shared" si="24"/>
        <v>227607</v>
      </c>
      <c r="F136" s="55">
        <f t="shared" si="25"/>
        <v>9.9999997764825821E-3</v>
      </c>
      <c r="G136" s="55">
        <f t="shared" si="26"/>
        <v>113803.50999999978</v>
      </c>
      <c r="H136" s="113">
        <f t="shared" si="17"/>
        <v>241220.29953295895</v>
      </c>
      <c r="I136" s="122">
        <f t="shared" si="18"/>
        <v>241220.29953295895</v>
      </c>
      <c r="J136" s="54">
        <f t="shared" si="27"/>
        <v>0</v>
      </c>
      <c r="K136" s="54"/>
      <c r="L136" s="115"/>
      <c r="M136" s="54">
        <f t="shared" si="28"/>
        <v>0</v>
      </c>
      <c r="N136" s="115"/>
      <c r="O136" s="54">
        <f t="shared" si="29"/>
        <v>0</v>
      </c>
      <c r="P136" s="54">
        <f t="shared" si="30"/>
        <v>0</v>
      </c>
    </row>
    <row r="137" spans="2:16">
      <c r="B137" s="7" t="str">
        <f t="shared" si="23"/>
        <v/>
      </c>
      <c r="C137" s="50">
        <f>IF(D93="","-",+C136+1)</f>
        <v>2062</v>
      </c>
      <c r="D137" s="12">
        <f>IF(F136+SUM(E$99:E136)=D$92,F136,D$92-SUM(E$99:E136))</f>
        <v>9.9999997764825821E-3</v>
      </c>
      <c r="E137" s="56">
        <f t="shared" si="24"/>
        <v>9.9999997764825821E-3</v>
      </c>
      <c r="F137" s="55">
        <f t="shared" si="25"/>
        <v>0</v>
      </c>
      <c r="G137" s="55">
        <f t="shared" si="26"/>
        <v>4.999999888241291E-3</v>
      </c>
      <c r="H137" s="113">
        <f t="shared" si="17"/>
        <v>1.0598105196459436E-2</v>
      </c>
      <c r="I137" s="122">
        <f t="shared" si="18"/>
        <v>1.0598105196459436E-2</v>
      </c>
      <c r="J137" s="54">
        <f t="shared" si="27"/>
        <v>0</v>
      </c>
      <c r="K137" s="54"/>
      <c r="L137" s="115"/>
      <c r="M137" s="54">
        <f t="shared" si="28"/>
        <v>0</v>
      </c>
      <c r="N137" s="115"/>
      <c r="O137" s="54">
        <f t="shared" si="29"/>
        <v>0</v>
      </c>
      <c r="P137" s="54">
        <f t="shared" si="30"/>
        <v>0</v>
      </c>
    </row>
    <row r="138" spans="2:16">
      <c r="B138" s="7" t="str">
        <f t="shared" si="23"/>
        <v/>
      </c>
      <c r="C138" s="50">
        <f>IF(D93="","-",+C137+1)</f>
        <v>2063</v>
      </c>
      <c r="D138" s="12">
        <f>IF(F137+SUM(E$99:E137)=D$92,F137,D$92-SUM(E$99:E137))</f>
        <v>0</v>
      </c>
      <c r="E138" s="56">
        <f t="shared" si="24"/>
        <v>0</v>
      </c>
      <c r="F138" s="55">
        <f t="shared" si="25"/>
        <v>0</v>
      </c>
      <c r="G138" s="55">
        <f t="shared" si="26"/>
        <v>0</v>
      </c>
      <c r="H138" s="113">
        <f t="shared" si="17"/>
        <v>0</v>
      </c>
      <c r="I138" s="122">
        <f t="shared" si="18"/>
        <v>0</v>
      </c>
      <c r="J138" s="54">
        <f t="shared" si="27"/>
        <v>0</v>
      </c>
      <c r="K138" s="54"/>
      <c r="L138" s="115"/>
      <c r="M138" s="54">
        <f t="shared" si="28"/>
        <v>0</v>
      </c>
      <c r="N138" s="115"/>
      <c r="O138" s="54">
        <f t="shared" si="29"/>
        <v>0</v>
      </c>
      <c r="P138" s="54">
        <f t="shared" si="30"/>
        <v>0</v>
      </c>
    </row>
    <row r="139" spans="2:16">
      <c r="B139" s="7" t="str">
        <f t="shared" si="23"/>
        <v/>
      </c>
      <c r="C139" s="50">
        <f>IF(D93="","-",+C138+1)</f>
        <v>2064</v>
      </c>
      <c r="D139" s="12">
        <f>IF(F138+SUM(E$99:E138)=D$92,F138,D$92-SUM(E$99:E138))</f>
        <v>0</v>
      </c>
      <c r="E139" s="56">
        <f t="shared" si="24"/>
        <v>0</v>
      </c>
      <c r="F139" s="55">
        <f t="shared" si="25"/>
        <v>0</v>
      </c>
      <c r="G139" s="55">
        <f t="shared" si="26"/>
        <v>0</v>
      </c>
      <c r="H139" s="113">
        <f t="shared" si="17"/>
        <v>0</v>
      </c>
      <c r="I139" s="122">
        <f t="shared" si="18"/>
        <v>0</v>
      </c>
      <c r="J139" s="54">
        <f t="shared" si="27"/>
        <v>0</v>
      </c>
      <c r="K139" s="54"/>
      <c r="L139" s="115"/>
      <c r="M139" s="54">
        <f t="shared" si="28"/>
        <v>0</v>
      </c>
      <c r="N139" s="115"/>
      <c r="O139" s="54">
        <f t="shared" si="29"/>
        <v>0</v>
      </c>
      <c r="P139" s="54">
        <f t="shared" si="30"/>
        <v>0</v>
      </c>
    </row>
    <row r="140" spans="2:16">
      <c r="B140" s="7" t="str">
        <f t="shared" si="23"/>
        <v/>
      </c>
      <c r="C140" s="50">
        <f>IF(D93="","-",+C139+1)</f>
        <v>2065</v>
      </c>
      <c r="D140" s="12">
        <f>IF(F139+SUM(E$99:E139)=D$92,F139,D$92-SUM(E$99:E139))</f>
        <v>0</v>
      </c>
      <c r="E140" s="56">
        <f t="shared" si="24"/>
        <v>0</v>
      </c>
      <c r="F140" s="55">
        <f t="shared" si="25"/>
        <v>0</v>
      </c>
      <c r="G140" s="55">
        <f t="shared" si="26"/>
        <v>0</v>
      </c>
      <c r="H140" s="113">
        <f t="shared" si="17"/>
        <v>0</v>
      </c>
      <c r="I140" s="122">
        <f t="shared" si="18"/>
        <v>0</v>
      </c>
      <c r="J140" s="54">
        <f t="shared" si="27"/>
        <v>0</v>
      </c>
      <c r="K140" s="54"/>
      <c r="L140" s="115"/>
      <c r="M140" s="54">
        <f t="shared" si="28"/>
        <v>0</v>
      </c>
      <c r="N140" s="115"/>
      <c r="O140" s="54">
        <f t="shared" si="29"/>
        <v>0</v>
      </c>
      <c r="P140" s="54">
        <f t="shared" si="30"/>
        <v>0</v>
      </c>
    </row>
    <row r="141" spans="2:16">
      <c r="B141" s="7" t="str">
        <f t="shared" si="23"/>
        <v/>
      </c>
      <c r="C141" s="50">
        <f>IF(D93="","-",+C140+1)</f>
        <v>2066</v>
      </c>
      <c r="D141" s="12">
        <f>IF(F140+SUM(E$99:E140)=D$92,F140,D$92-SUM(E$99:E140))</f>
        <v>0</v>
      </c>
      <c r="E141" s="56">
        <f t="shared" si="24"/>
        <v>0</v>
      </c>
      <c r="F141" s="55">
        <f t="shared" si="25"/>
        <v>0</v>
      </c>
      <c r="G141" s="55">
        <f t="shared" si="26"/>
        <v>0</v>
      </c>
      <c r="H141" s="113">
        <f t="shared" si="17"/>
        <v>0</v>
      </c>
      <c r="I141" s="122">
        <f t="shared" si="18"/>
        <v>0</v>
      </c>
      <c r="J141" s="54">
        <f t="shared" si="27"/>
        <v>0</v>
      </c>
      <c r="K141" s="54"/>
      <c r="L141" s="115"/>
      <c r="M141" s="54">
        <f t="shared" si="28"/>
        <v>0</v>
      </c>
      <c r="N141" s="115"/>
      <c r="O141" s="54">
        <f t="shared" si="29"/>
        <v>0</v>
      </c>
      <c r="P141" s="54">
        <f t="shared" si="30"/>
        <v>0</v>
      </c>
    </row>
    <row r="142" spans="2:16">
      <c r="B142" s="7" t="str">
        <f t="shared" si="23"/>
        <v/>
      </c>
      <c r="C142" s="50">
        <f>IF(D93="","-",+C141+1)</f>
        <v>2067</v>
      </c>
      <c r="D142" s="12">
        <f>IF(F141+SUM(E$99:E141)=D$92,F141,D$92-SUM(E$99:E141))</f>
        <v>0</v>
      </c>
      <c r="E142" s="56">
        <f t="shared" si="24"/>
        <v>0</v>
      </c>
      <c r="F142" s="55">
        <f t="shared" si="25"/>
        <v>0</v>
      </c>
      <c r="G142" s="55">
        <f t="shared" si="26"/>
        <v>0</v>
      </c>
      <c r="H142" s="113">
        <f t="shared" si="17"/>
        <v>0</v>
      </c>
      <c r="I142" s="122">
        <f t="shared" si="18"/>
        <v>0</v>
      </c>
      <c r="J142" s="54">
        <f t="shared" si="27"/>
        <v>0</v>
      </c>
      <c r="K142" s="54"/>
      <c r="L142" s="115"/>
      <c r="M142" s="54">
        <f t="shared" si="28"/>
        <v>0</v>
      </c>
      <c r="N142" s="115"/>
      <c r="O142" s="54">
        <f t="shared" si="29"/>
        <v>0</v>
      </c>
      <c r="P142" s="54">
        <f t="shared" si="30"/>
        <v>0</v>
      </c>
    </row>
    <row r="143" spans="2:16">
      <c r="B143" s="7" t="str">
        <f t="shared" si="23"/>
        <v/>
      </c>
      <c r="C143" s="50">
        <f>IF(D93="","-",+C142+1)</f>
        <v>2068</v>
      </c>
      <c r="D143" s="12">
        <f>IF(F142+SUM(E$99:E142)=D$92,F142,D$92-SUM(E$99:E142))</f>
        <v>0</v>
      </c>
      <c r="E143" s="56">
        <f t="shared" si="24"/>
        <v>0</v>
      </c>
      <c r="F143" s="55">
        <f t="shared" si="25"/>
        <v>0</v>
      </c>
      <c r="G143" s="55">
        <f t="shared" si="26"/>
        <v>0</v>
      </c>
      <c r="H143" s="113">
        <f t="shared" si="17"/>
        <v>0</v>
      </c>
      <c r="I143" s="122">
        <f t="shared" si="18"/>
        <v>0</v>
      </c>
      <c r="J143" s="54">
        <f t="shared" si="27"/>
        <v>0</v>
      </c>
      <c r="K143" s="54"/>
      <c r="L143" s="115"/>
      <c r="M143" s="54">
        <f t="shared" si="28"/>
        <v>0</v>
      </c>
      <c r="N143" s="115"/>
      <c r="O143" s="54">
        <f t="shared" si="29"/>
        <v>0</v>
      </c>
      <c r="P143" s="54">
        <f t="shared" si="30"/>
        <v>0</v>
      </c>
    </row>
    <row r="144" spans="2:16">
      <c r="B144" s="7" t="str">
        <f t="shared" si="23"/>
        <v/>
      </c>
      <c r="C144" s="50">
        <f>IF(D93="","-",+C143+1)</f>
        <v>2069</v>
      </c>
      <c r="D144" s="12">
        <f>IF(F143+SUM(E$99:E143)=D$92,F143,D$92-SUM(E$99:E143))</f>
        <v>0</v>
      </c>
      <c r="E144" s="56">
        <f t="shared" si="24"/>
        <v>0</v>
      </c>
      <c r="F144" s="55">
        <f t="shared" si="25"/>
        <v>0</v>
      </c>
      <c r="G144" s="55">
        <f t="shared" si="26"/>
        <v>0</v>
      </c>
      <c r="H144" s="113">
        <f t="shared" si="17"/>
        <v>0</v>
      </c>
      <c r="I144" s="122">
        <f t="shared" si="18"/>
        <v>0</v>
      </c>
      <c r="J144" s="54">
        <f t="shared" si="27"/>
        <v>0</v>
      </c>
      <c r="K144" s="54"/>
      <c r="L144" s="115"/>
      <c r="M144" s="54">
        <f t="shared" si="28"/>
        <v>0</v>
      </c>
      <c r="N144" s="115"/>
      <c r="O144" s="54">
        <f t="shared" si="29"/>
        <v>0</v>
      </c>
      <c r="P144" s="54">
        <f t="shared" si="30"/>
        <v>0</v>
      </c>
    </row>
    <row r="145" spans="2:16">
      <c r="B145" s="7" t="str">
        <f t="shared" si="23"/>
        <v/>
      </c>
      <c r="C145" s="50">
        <f>IF(D93="","-",+C144+1)</f>
        <v>2070</v>
      </c>
      <c r="D145" s="12">
        <f>IF(F144+SUM(E$99:E144)=D$92,F144,D$92-SUM(E$99:E144))</f>
        <v>0</v>
      </c>
      <c r="E145" s="56">
        <f t="shared" si="24"/>
        <v>0</v>
      </c>
      <c r="F145" s="55">
        <f t="shared" si="25"/>
        <v>0</v>
      </c>
      <c r="G145" s="55">
        <f t="shared" si="26"/>
        <v>0</v>
      </c>
      <c r="H145" s="113">
        <f t="shared" si="17"/>
        <v>0</v>
      </c>
      <c r="I145" s="122">
        <f t="shared" si="18"/>
        <v>0</v>
      </c>
      <c r="J145" s="54">
        <f t="shared" si="27"/>
        <v>0</v>
      </c>
      <c r="K145" s="54"/>
      <c r="L145" s="115"/>
      <c r="M145" s="54">
        <f t="shared" si="28"/>
        <v>0</v>
      </c>
      <c r="N145" s="115"/>
      <c r="O145" s="54">
        <f t="shared" si="29"/>
        <v>0</v>
      </c>
      <c r="P145" s="54">
        <f t="shared" si="30"/>
        <v>0</v>
      </c>
    </row>
    <row r="146" spans="2:16">
      <c r="B146" s="7" t="str">
        <f t="shared" si="23"/>
        <v/>
      </c>
      <c r="C146" s="50">
        <f>IF(D93="","-",+C145+1)</f>
        <v>2071</v>
      </c>
      <c r="D146" s="12">
        <f>IF(F145+SUM(E$99:E145)=D$92,F145,D$92-SUM(E$99:E145))</f>
        <v>0</v>
      </c>
      <c r="E146" s="56">
        <f t="shared" si="24"/>
        <v>0</v>
      </c>
      <c r="F146" s="55">
        <f t="shared" si="25"/>
        <v>0</v>
      </c>
      <c r="G146" s="55">
        <f t="shared" si="26"/>
        <v>0</v>
      </c>
      <c r="H146" s="113">
        <f t="shared" si="17"/>
        <v>0</v>
      </c>
      <c r="I146" s="122">
        <f t="shared" si="18"/>
        <v>0</v>
      </c>
      <c r="J146" s="54">
        <f t="shared" si="27"/>
        <v>0</v>
      </c>
      <c r="K146" s="54"/>
      <c r="L146" s="115"/>
      <c r="M146" s="54">
        <f t="shared" si="28"/>
        <v>0</v>
      </c>
      <c r="N146" s="115"/>
      <c r="O146" s="54">
        <f t="shared" si="29"/>
        <v>0</v>
      </c>
      <c r="P146" s="54">
        <f t="shared" si="30"/>
        <v>0</v>
      </c>
    </row>
    <row r="147" spans="2:16">
      <c r="B147" s="7" t="str">
        <f t="shared" si="23"/>
        <v/>
      </c>
      <c r="C147" s="50">
        <f>IF(D93="","-",+C146+1)</f>
        <v>2072</v>
      </c>
      <c r="D147" s="12">
        <f>IF(F146+SUM(E$99:E146)=D$92,F146,D$92-SUM(E$99:E146))</f>
        <v>0</v>
      </c>
      <c r="E147" s="56">
        <f t="shared" si="24"/>
        <v>0</v>
      </c>
      <c r="F147" s="55">
        <f t="shared" si="25"/>
        <v>0</v>
      </c>
      <c r="G147" s="55">
        <f t="shared" si="26"/>
        <v>0</v>
      </c>
      <c r="H147" s="113">
        <f t="shared" si="17"/>
        <v>0</v>
      </c>
      <c r="I147" s="122">
        <f t="shared" si="18"/>
        <v>0</v>
      </c>
      <c r="J147" s="54">
        <f t="shared" si="27"/>
        <v>0</v>
      </c>
      <c r="K147" s="54"/>
      <c r="L147" s="115"/>
      <c r="M147" s="54">
        <f t="shared" si="28"/>
        <v>0</v>
      </c>
      <c r="N147" s="115"/>
      <c r="O147" s="54">
        <f t="shared" si="29"/>
        <v>0</v>
      </c>
      <c r="P147" s="54">
        <f t="shared" si="30"/>
        <v>0</v>
      </c>
    </row>
    <row r="148" spans="2:16">
      <c r="B148" s="7" t="str">
        <f t="shared" si="23"/>
        <v/>
      </c>
      <c r="C148" s="50">
        <f>IF(D93="","-",+C147+1)</f>
        <v>2073</v>
      </c>
      <c r="D148" s="12">
        <f>IF(F147+SUM(E$99:E147)=D$92,F147,D$92-SUM(E$99:E147))</f>
        <v>0</v>
      </c>
      <c r="E148" s="56">
        <f t="shared" si="24"/>
        <v>0</v>
      </c>
      <c r="F148" s="55">
        <f t="shared" si="25"/>
        <v>0</v>
      </c>
      <c r="G148" s="55">
        <f t="shared" si="26"/>
        <v>0</v>
      </c>
      <c r="H148" s="113">
        <f t="shared" si="17"/>
        <v>0</v>
      </c>
      <c r="I148" s="122">
        <f t="shared" si="18"/>
        <v>0</v>
      </c>
      <c r="J148" s="54">
        <f t="shared" si="27"/>
        <v>0</v>
      </c>
      <c r="K148" s="54"/>
      <c r="L148" s="115"/>
      <c r="M148" s="54">
        <f t="shared" si="28"/>
        <v>0</v>
      </c>
      <c r="N148" s="115"/>
      <c r="O148" s="54">
        <f t="shared" si="29"/>
        <v>0</v>
      </c>
      <c r="P148" s="54">
        <f t="shared" si="30"/>
        <v>0</v>
      </c>
    </row>
    <row r="149" spans="2:16">
      <c r="B149" s="7" t="str">
        <f t="shared" si="23"/>
        <v/>
      </c>
      <c r="C149" s="50">
        <f>IF(D93="","-",+C148+1)</f>
        <v>2074</v>
      </c>
      <c r="D149" s="12">
        <f>IF(F148+SUM(E$99:E148)=D$92,F148,D$92-SUM(E$99:E148))</f>
        <v>0</v>
      </c>
      <c r="E149" s="56">
        <f t="shared" si="24"/>
        <v>0</v>
      </c>
      <c r="F149" s="55">
        <f t="shared" si="25"/>
        <v>0</v>
      </c>
      <c r="G149" s="55">
        <f t="shared" si="26"/>
        <v>0</v>
      </c>
      <c r="H149" s="113">
        <f t="shared" si="17"/>
        <v>0</v>
      </c>
      <c r="I149" s="122">
        <f t="shared" si="18"/>
        <v>0</v>
      </c>
      <c r="J149" s="54">
        <f t="shared" si="27"/>
        <v>0</v>
      </c>
      <c r="K149" s="54"/>
      <c r="L149" s="115"/>
      <c r="M149" s="54">
        <f t="shared" si="28"/>
        <v>0</v>
      </c>
      <c r="N149" s="115"/>
      <c r="O149" s="54">
        <f t="shared" si="29"/>
        <v>0</v>
      </c>
      <c r="P149" s="54">
        <f t="shared" si="30"/>
        <v>0</v>
      </c>
    </row>
    <row r="150" spans="2:16">
      <c r="B150" s="7" t="str">
        <f t="shared" si="23"/>
        <v/>
      </c>
      <c r="C150" s="50">
        <f>IF(D93="","-",+C149+1)</f>
        <v>2075</v>
      </c>
      <c r="D150" s="12">
        <f>IF(F149+SUM(E$99:E149)=D$92,F149,D$92-SUM(E$99:E149))</f>
        <v>0</v>
      </c>
      <c r="E150" s="56">
        <f t="shared" si="24"/>
        <v>0</v>
      </c>
      <c r="F150" s="55">
        <f t="shared" si="25"/>
        <v>0</v>
      </c>
      <c r="G150" s="55">
        <f t="shared" si="26"/>
        <v>0</v>
      </c>
      <c r="H150" s="113">
        <f t="shared" si="17"/>
        <v>0</v>
      </c>
      <c r="I150" s="122">
        <f t="shared" si="18"/>
        <v>0</v>
      </c>
      <c r="J150" s="54">
        <f t="shared" si="27"/>
        <v>0</v>
      </c>
      <c r="K150" s="54"/>
      <c r="L150" s="115"/>
      <c r="M150" s="54">
        <f t="shared" si="28"/>
        <v>0</v>
      </c>
      <c r="N150" s="115"/>
      <c r="O150" s="54">
        <f t="shared" si="29"/>
        <v>0</v>
      </c>
      <c r="P150" s="54">
        <f t="shared" si="30"/>
        <v>0</v>
      </c>
    </row>
    <row r="151" spans="2:16">
      <c r="B151" s="7" t="str">
        <f t="shared" si="23"/>
        <v/>
      </c>
      <c r="C151" s="50">
        <f>IF(D93="","-",+C150+1)</f>
        <v>2076</v>
      </c>
      <c r="D151" s="12">
        <f>IF(F150+SUM(E$99:E150)=D$92,F150,D$92-SUM(E$99:E150))</f>
        <v>0</v>
      </c>
      <c r="E151" s="56">
        <f t="shared" si="24"/>
        <v>0</v>
      </c>
      <c r="F151" s="55">
        <f t="shared" si="25"/>
        <v>0</v>
      </c>
      <c r="G151" s="55">
        <f t="shared" si="26"/>
        <v>0</v>
      </c>
      <c r="H151" s="113">
        <f t="shared" si="17"/>
        <v>0</v>
      </c>
      <c r="I151" s="122">
        <f t="shared" si="18"/>
        <v>0</v>
      </c>
      <c r="J151" s="54">
        <f t="shared" si="27"/>
        <v>0</v>
      </c>
      <c r="K151" s="54"/>
      <c r="L151" s="115"/>
      <c r="M151" s="54">
        <f t="shared" si="28"/>
        <v>0</v>
      </c>
      <c r="N151" s="115"/>
      <c r="O151" s="54">
        <f t="shared" si="29"/>
        <v>0</v>
      </c>
      <c r="P151" s="54">
        <f t="shared" si="30"/>
        <v>0</v>
      </c>
    </row>
    <row r="152" spans="2:16">
      <c r="B152" s="7" t="str">
        <f t="shared" si="23"/>
        <v/>
      </c>
      <c r="C152" s="50">
        <f>IF(D93="","-",+C151+1)</f>
        <v>2077</v>
      </c>
      <c r="D152" s="12">
        <f>IF(F151+SUM(E$99:E151)=D$92,F151,D$92-SUM(E$99:E151))</f>
        <v>0</v>
      </c>
      <c r="E152" s="56">
        <f t="shared" si="24"/>
        <v>0</v>
      </c>
      <c r="F152" s="55">
        <f t="shared" si="25"/>
        <v>0</v>
      </c>
      <c r="G152" s="55">
        <f t="shared" si="26"/>
        <v>0</v>
      </c>
      <c r="H152" s="113">
        <f t="shared" si="17"/>
        <v>0</v>
      </c>
      <c r="I152" s="122">
        <f t="shared" si="18"/>
        <v>0</v>
      </c>
      <c r="J152" s="54">
        <f t="shared" si="27"/>
        <v>0</v>
      </c>
      <c r="K152" s="54"/>
      <c r="L152" s="115"/>
      <c r="M152" s="54">
        <f t="shared" si="28"/>
        <v>0</v>
      </c>
      <c r="N152" s="115"/>
      <c r="O152" s="54">
        <f t="shared" si="29"/>
        <v>0</v>
      </c>
      <c r="P152" s="54">
        <f t="shared" si="30"/>
        <v>0</v>
      </c>
    </row>
    <row r="153" spans="2:16">
      <c r="B153" s="7" t="str">
        <f t="shared" si="23"/>
        <v/>
      </c>
      <c r="C153" s="50">
        <f>IF(D93="","-",+C152+1)</f>
        <v>2078</v>
      </c>
      <c r="D153" s="12">
        <f>IF(F152+SUM(E$99:E152)=D$92,F152,D$92-SUM(E$99:E152))</f>
        <v>0</v>
      </c>
      <c r="E153" s="56">
        <f t="shared" si="24"/>
        <v>0</v>
      </c>
      <c r="F153" s="55">
        <f t="shared" si="25"/>
        <v>0</v>
      </c>
      <c r="G153" s="55">
        <f t="shared" si="26"/>
        <v>0</v>
      </c>
      <c r="H153" s="113">
        <f t="shared" si="17"/>
        <v>0</v>
      </c>
      <c r="I153" s="122">
        <f t="shared" si="18"/>
        <v>0</v>
      </c>
      <c r="J153" s="54">
        <f t="shared" si="27"/>
        <v>0</v>
      </c>
      <c r="K153" s="54"/>
      <c r="L153" s="115"/>
      <c r="M153" s="54">
        <f t="shared" si="28"/>
        <v>0</v>
      </c>
      <c r="N153" s="115"/>
      <c r="O153" s="54">
        <f t="shared" si="29"/>
        <v>0</v>
      </c>
      <c r="P153" s="54">
        <f t="shared" si="30"/>
        <v>0</v>
      </c>
    </row>
    <row r="154" spans="2:16" ht="13.5" thickBot="1">
      <c r="B154" s="7" t="str">
        <f t="shared" si="23"/>
        <v/>
      </c>
      <c r="C154" s="58">
        <f>IF(D93="","-",+C153+1)</f>
        <v>2079</v>
      </c>
      <c r="D154" s="82">
        <f>IF(F153+SUM(E$99:E153)=D$92,F153,D$92-SUM(E$99:E153))</f>
        <v>0</v>
      </c>
      <c r="E154" s="60">
        <f t="shared" si="24"/>
        <v>0</v>
      </c>
      <c r="F154" s="59">
        <f t="shared" si="25"/>
        <v>0</v>
      </c>
      <c r="G154" s="59">
        <f t="shared" si="26"/>
        <v>0</v>
      </c>
      <c r="H154" s="123">
        <f t="shared" si="17"/>
        <v>0</v>
      </c>
      <c r="I154" s="124">
        <f t="shared" si="18"/>
        <v>0</v>
      </c>
      <c r="J154" s="62">
        <f t="shared" si="27"/>
        <v>0</v>
      </c>
      <c r="K154" s="54"/>
      <c r="L154" s="116"/>
      <c r="M154" s="62">
        <f t="shared" si="28"/>
        <v>0</v>
      </c>
      <c r="N154" s="116"/>
      <c r="O154" s="62">
        <f t="shared" si="29"/>
        <v>0</v>
      </c>
      <c r="P154" s="62">
        <f t="shared" si="30"/>
        <v>0</v>
      </c>
    </row>
    <row r="155" spans="2:16">
      <c r="C155" s="12" t="s">
        <v>77</v>
      </c>
      <c r="D155" s="14"/>
      <c r="E155" s="14">
        <f>SUM(E99:E154)</f>
        <v>8421459.0099999998</v>
      </c>
      <c r="F155" s="14"/>
      <c r="G155" s="14"/>
      <c r="H155" s="14">
        <f>SUM(H99:H154)</f>
        <v>27595380.754217509</v>
      </c>
      <c r="I155" s="14">
        <f>SUM(I99:I154)</f>
        <v>27595380.754217509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6BFDA-F2FC-4696-97B5-7BCAD6DA8173}">
  <dimension ref="A1:P162"/>
  <sheetViews>
    <sheetView topLeftCell="A83" zoomScaleNormal="100" zoomScaleSheetLayoutView="78" workbookViewId="0">
      <selection activeCell="I88" sqref="I8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33 of 36</v>
      </c>
    </row>
    <row r="2" spans="1:16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5.75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279</v>
      </c>
      <c r="L5" s="18"/>
      <c r="M5" s="19"/>
      <c r="N5" s="20">
        <f>VLOOKUP(I10,C17:I72,5)</f>
        <v>404501.07612510771</v>
      </c>
      <c r="P5" s="1"/>
    </row>
    <row r="6" spans="1:16" ht="15.75">
      <c r="C6" s="6"/>
      <c r="D6" s="2"/>
      <c r="E6" s="1"/>
      <c r="F6" s="1"/>
      <c r="G6" s="1"/>
      <c r="H6" s="21"/>
      <c r="I6" s="21"/>
      <c r="J6" s="22"/>
      <c r="K6" s="23" t="s">
        <v>280</v>
      </c>
      <c r="L6" s="24"/>
      <c r="M6" s="1"/>
      <c r="N6" s="25">
        <f>VLOOKUP(I10,C17:I72,6)</f>
        <v>404501.07612510771</v>
      </c>
      <c r="O6" s="1"/>
      <c r="P6" s="1"/>
    </row>
    <row r="7" spans="1:16" ht="13.5" thickBot="1">
      <c r="C7" s="26" t="s">
        <v>46</v>
      </c>
      <c r="D7" s="88" t="s">
        <v>363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362</v>
      </c>
      <c r="E9" s="438" t="s">
        <v>382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5">
        <v>382759</v>
      </c>
      <c r="E10" s="1" t="s">
        <v>51</v>
      </c>
      <c r="G10" s="2"/>
      <c r="H10" s="2"/>
      <c r="I10" s="36">
        <f>+'PSO.WS.F.BPU.ATRR.Projected'!L19</f>
        <v>2025</v>
      </c>
      <c r="J10" s="34"/>
      <c r="K10" s="14" t="s">
        <v>52</v>
      </c>
      <c r="O10" s="1"/>
      <c r="P10" s="1"/>
    </row>
    <row r="11" spans="1:16">
      <c r="C11" s="37" t="s">
        <v>53</v>
      </c>
      <c r="D11" s="38">
        <v>2024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5">
        <v>10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14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10072.605263157895</v>
      </c>
      <c r="J14" s="14"/>
      <c r="K14" s="14"/>
      <c r="L14" s="14"/>
      <c r="M14" s="14"/>
      <c r="N14" s="14"/>
      <c r="O14" s="1"/>
      <c r="P14" s="1"/>
    </row>
    <row r="15" spans="1:16" ht="38.25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281</v>
      </c>
      <c r="H15" s="126" t="s">
        <v>282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3.5" thickBot="1">
      <c r="B17" s="7"/>
      <c r="C17" s="50">
        <f>IF(D11= "","-",D11)</f>
        <v>2024</v>
      </c>
      <c r="D17" s="518">
        <v>0</v>
      </c>
      <c r="E17" s="518">
        <v>0</v>
      </c>
      <c r="F17" s="518">
        <v>453</v>
      </c>
      <c r="G17" s="518">
        <v>25.762152486776909</v>
      </c>
      <c r="H17" s="518">
        <v>25.762152486776909</v>
      </c>
      <c r="I17" s="52">
        <f>H17-G17</f>
        <v>0</v>
      </c>
      <c r="J17" s="52"/>
      <c r="K17" s="117">
        <f>+G17</f>
        <v>25.762152486776909</v>
      </c>
      <c r="L17" s="469">
        <f t="shared" ref="L17:L18" si="0">IF(K17&lt;&gt;0,+G17-K17,0)</f>
        <v>0</v>
      </c>
      <c r="M17" s="117">
        <f>+H17</f>
        <v>25.762152486776909</v>
      </c>
      <c r="N17" s="469">
        <f t="shared" ref="N17:N18" si="1">IF(M17&lt;&gt;0,+H17-M17,0)</f>
        <v>0</v>
      </c>
      <c r="O17" s="446">
        <f t="shared" ref="O17:O18" si="2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2025</v>
      </c>
      <c r="D18" s="518">
        <v>382759.11550926219</v>
      </c>
      <c r="E18" s="518">
        <v>382759.11550926219</v>
      </c>
      <c r="F18" s="518">
        <v>0</v>
      </c>
      <c r="G18" s="518">
        <v>404501.07612510771</v>
      </c>
      <c r="H18" s="518">
        <v>404501.07612510771</v>
      </c>
      <c r="I18" s="52">
        <f>H18-G18</f>
        <v>0</v>
      </c>
      <c r="J18" s="52"/>
      <c r="K18" s="117">
        <f>+G18</f>
        <v>404501.07612510771</v>
      </c>
      <c r="L18" s="469">
        <f t="shared" si="0"/>
        <v>0</v>
      </c>
      <c r="M18" s="117">
        <f>+H18</f>
        <v>404501.07612510771</v>
      </c>
      <c r="N18" s="469">
        <f t="shared" si="1"/>
        <v>0</v>
      </c>
      <c r="O18" s="446">
        <f t="shared" si="2"/>
        <v>0</v>
      </c>
      <c r="P18" s="1"/>
    </row>
    <row r="19" spans="2:16">
      <c r="B19" s="7" t="str">
        <f>IF(D19=F18,"","IU")</f>
        <v>IU</v>
      </c>
      <c r="C19" s="50">
        <f>IF(D11="","-",+C18+1)</f>
        <v>2026</v>
      </c>
      <c r="D19" s="55">
        <f>IF(F18+SUM(E$17:E18)=D$10,F18,D$10-SUM(E$17:E18))</f>
        <v>-0.11550926219206303</v>
      </c>
      <c r="E19" s="56">
        <f t="shared" ref="E19:E71" si="3">IF(+I$14&lt;F18,I$14,D19)</f>
        <v>-0.11550926219206303</v>
      </c>
      <c r="F19" s="55">
        <f t="shared" ref="F19:F71" si="4">+D19-E19</f>
        <v>0</v>
      </c>
      <c r="G19" s="57">
        <f t="shared" ref="G19:G71" si="5">(D19+F19)/2*I$12+E19</f>
        <v>-0.1220705633540322</v>
      </c>
      <c r="H19" s="42">
        <f t="shared" ref="H19:H71" si="6">+(D19+F19)/2*I$13+E19</f>
        <v>-0.1220705633540322</v>
      </c>
      <c r="I19" s="52">
        <f t="shared" ref="I19:I71" si="7">H19-G19</f>
        <v>0</v>
      </c>
      <c r="J19" s="52"/>
      <c r="K19" s="115"/>
      <c r="L19" s="54">
        <f t="shared" ref="L19:L72" si="8">IF(K19&lt;&gt;0,+G19-K19,0)</f>
        <v>0</v>
      </c>
      <c r="M19" s="115"/>
      <c r="N19" s="54">
        <f t="shared" ref="N19:N72" si="9">IF(M19&lt;&gt;0,+H19-M19,0)</f>
        <v>0</v>
      </c>
      <c r="O19" s="54">
        <f t="shared" ref="O19:O72" si="10">+N19-L19</f>
        <v>0</v>
      </c>
      <c r="P19" s="1"/>
    </row>
    <row r="20" spans="2:16">
      <c r="B20" s="7" t="str">
        <f t="shared" ref="B20:B72" si="11">IF(D20=F19,"","IU")</f>
        <v/>
      </c>
      <c r="C20" s="50">
        <f>IF(D11="","-",+C19+1)</f>
        <v>2027</v>
      </c>
      <c r="D20" s="55">
        <f>IF(F19+SUM(E$17:E19)=D$10,F19,D$10-SUM(E$17:E19))</f>
        <v>0</v>
      </c>
      <c r="E20" s="56">
        <f t="shared" si="3"/>
        <v>0</v>
      </c>
      <c r="F20" s="55">
        <f t="shared" si="4"/>
        <v>0</v>
      </c>
      <c r="G20" s="57">
        <f t="shared" si="5"/>
        <v>0</v>
      </c>
      <c r="H20" s="42">
        <f t="shared" si="6"/>
        <v>0</v>
      </c>
      <c r="I20" s="52">
        <f t="shared" si="7"/>
        <v>0</v>
      </c>
      <c r="J20" s="52"/>
      <c r="K20" s="115"/>
      <c r="L20" s="54">
        <f t="shared" si="8"/>
        <v>0</v>
      </c>
      <c r="M20" s="115"/>
      <c r="N20" s="54">
        <f t="shared" si="9"/>
        <v>0</v>
      </c>
      <c r="O20" s="54">
        <f t="shared" si="10"/>
        <v>0</v>
      </c>
      <c r="P20" s="1"/>
    </row>
    <row r="21" spans="2:16">
      <c r="B21" s="7" t="str">
        <f t="shared" si="11"/>
        <v/>
      </c>
      <c r="C21" s="50">
        <f>IF(D11="","-",+C20+1)</f>
        <v>2028</v>
      </c>
      <c r="D21" s="55">
        <f>IF(F20+SUM(E$17:E20)=D$10,F20,D$10-SUM(E$17:E20))</f>
        <v>0</v>
      </c>
      <c r="E21" s="56">
        <f t="shared" si="3"/>
        <v>0</v>
      </c>
      <c r="F21" s="55">
        <f t="shared" si="4"/>
        <v>0</v>
      </c>
      <c r="G21" s="57">
        <f t="shared" si="5"/>
        <v>0</v>
      </c>
      <c r="H21" s="42">
        <f t="shared" si="6"/>
        <v>0</v>
      </c>
      <c r="I21" s="52">
        <f t="shared" si="7"/>
        <v>0</v>
      </c>
      <c r="J21" s="52"/>
      <c r="K21" s="115"/>
      <c r="L21" s="54">
        <f t="shared" si="8"/>
        <v>0</v>
      </c>
      <c r="M21" s="115"/>
      <c r="N21" s="54">
        <f t="shared" si="9"/>
        <v>0</v>
      </c>
      <c r="O21" s="54">
        <f t="shared" si="10"/>
        <v>0</v>
      </c>
      <c r="P21" s="1"/>
    </row>
    <row r="22" spans="2:16">
      <c r="B22" s="7" t="str">
        <f t="shared" si="11"/>
        <v/>
      </c>
      <c r="C22" s="50">
        <f>IF(D11="","-",+C21+1)</f>
        <v>2029</v>
      </c>
      <c r="D22" s="55">
        <f>IF(F21+SUM(E$17:E21)=D$10,F21,D$10-SUM(E$17:E21))</f>
        <v>0</v>
      </c>
      <c r="E22" s="56">
        <f t="shared" si="3"/>
        <v>0</v>
      </c>
      <c r="F22" s="55">
        <f t="shared" si="4"/>
        <v>0</v>
      </c>
      <c r="G22" s="57">
        <f t="shared" si="5"/>
        <v>0</v>
      </c>
      <c r="H22" s="42">
        <f t="shared" si="6"/>
        <v>0</v>
      </c>
      <c r="I22" s="52">
        <f t="shared" si="7"/>
        <v>0</v>
      </c>
      <c r="J22" s="52"/>
      <c r="K22" s="115"/>
      <c r="L22" s="54">
        <f t="shared" si="8"/>
        <v>0</v>
      </c>
      <c r="M22" s="115"/>
      <c r="N22" s="54">
        <f t="shared" si="9"/>
        <v>0</v>
      </c>
      <c r="O22" s="54">
        <f t="shared" si="10"/>
        <v>0</v>
      </c>
      <c r="P22" s="1"/>
    </row>
    <row r="23" spans="2:16">
      <c r="B23" s="7" t="str">
        <f t="shared" si="11"/>
        <v/>
      </c>
      <c r="C23" s="50">
        <f>IF(D11="","-",+C22+1)</f>
        <v>2030</v>
      </c>
      <c r="D23" s="55">
        <f>IF(F22+SUM(E$17:E22)=D$10,F22,D$10-SUM(E$17:E22))</f>
        <v>0</v>
      </c>
      <c r="E23" s="56">
        <f t="shared" si="3"/>
        <v>0</v>
      </c>
      <c r="F23" s="55">
        <f t="shared" si="4"/>
        <v>0</v>
      </c>
      <c r="G23" s="57">
        <f t="shared" si="5"/>
        <v>0</v>
      </c>
      <c r="H23" s="42">
        <f t="shared" si="6"/>
        <v>0</v>
      </c>
      <c r="I23" s="52">
        <f t="shared" si="7"/>
        <v>0</v>
      </c>
      <c r="J23" s="52"/>
      <c r="K23" s="115"/>
      <c r="L23" s="54">
        <f t="shared" si="8"/>
        <v>0</v>
      </c>
      <c r="M23" s="115"/>
      <c r="N23" s="54">
        <f t="shared" si="9"/>
        <v>0</v>
      </c>
      <c r="O23" s="54">
        <f t="shared" si="10"/>
        <v>0</v>
      </c>
      <c r="P23" s="1"/>
    </row>
    <row r="24" spans="2:16">
      <c r="B24" s="7" t="str">
        <f t="shared" si="11"/>
        <v/>
      </c>
      <c r="C24" s="50">
        <f>IF(D11="","-",+C23+1)</f>
        <v>2031</v>
      </c>
      <c r="D24" s="55">
        <f>IF(F23+SUM(E$17:E23)=D$10,F23,D$10-SUM(E$17:E23))</f>
        <v>0</v>
      </c>
      <c r="E24" s="56">
        <f t="shared" si="3"/>
        <v>0</v>
      </c>
      <c r="F24" s="55">
        <f t="shared" si="4"/>
        <v>0</v>
      </c>
      <c r="G24" s="57">
        <f t="shared" si="5"/>
        <v>0</v>
      </c>
      <c r="H24" s="42">
        <f t="shared" si="6"/>
        <v>0</v>
      </c>
      <c r="I24" s="52">
        <f t="shared" si="7"/>
        <v>0</v>
      </c>
      <c r="J24" s="52"/>
      <c r="K24" s="115"/>
      <c r="L24" s="54">
        <f t="shared" si="8"/>
        <v>0</v>
      </c>
      <c r="M24" s="115"/>
      <c r="N24" s="54">
        <f t="shared" si="9"/>
        <v>0</v>
      </c>
      <c r="O24" s="54">
        <f t="shared" si="10"/>
        <v>0</v>
      </c>
      <c r="P24" s="1"/>
    </row>
    <row r="25" spans="2:16">
      <c r="B25" s="7" t="str">
        <f t="shared" si="11"/>
        <v/>
      </c>
      <c r="C25" s="50">
        <f>IF(D11="","-",+C24+1)</f>
        <v>2032</v>
      </c>
      <c r="D25" s="55">
        <f>IF(F24+SUM(E$17:E24)=D$10,F24,D$10-SUM(E$17:E24))</f>
        <v>0</v>
      </c>
      <c r="E25" s="56">
        <f t="shared" si="3"/>
        <v>0</v>
      </c>
      <c r="F25" s="55">
        <f t="shared" si="4"/>
        <v>0</v>
      </c>
      <c r="G25" s="57">
        <f t="shared" si="5"/>
        <v>0</v>
      </c>
      <c r="H25" s="42">
        <f t="shared" si="6"/>
        <v>0</v>
      </c>
      <c r="I25" s="52">
        <f t="shared" si="7"/>
        <v>0</v>
      </c>
      <c r="J25" s="52"/>
      <c r="K25" s="115"/>
      <c r="L25" s="54">
        <f t="shared" si="8"/>
        <v>0</v>
      </c>
      <c r="M25" s="115"/>
      <c r="N25" s="54">
        <f t="shared" si="9"/>
        <v>0</v>
      </c>
      <c r="O25" s="54">
        <f t="shared" si="10"/>
        <v>0</v>
      </c>
      <c r="P25" s="1"/>
    </row>
    <row r="26" spans="2:16">
      <c r="B26" s="7" t="str">
        <f t="shared" si="11"/>
        <v/>
      </c>
      <c r="C26" s="50">
        <f>IF(D11="","-",+C25+1)</f>
        <v>2033</v>
      </c>
      <c r="D26" s="55">
        <f>IF(F25+SUM(E$17:E25)=D$10,F25,D$10-SUM(E$17:E25))</f>
        <v>0</v>
      </c>
      <c r="E26" s="56">
        <f t="shared" si="3"/>
        <v>0</v>
      </c>
      <c r="F26" s="55">
        <f t="shared" si="4"/>
        <v>0</v>
      </c>
      <c r="G26" s="57">
        <f t="shared" si="5"/>
        <v>0</v>
      </c>
      <c r="H26" s="42">
        <f t="shared" si="6"/>
        <v>0</v>
      </c>
      <c r="I26" s="52">
        <f t="shared" si="7"/>
        <v>0</v>
      </c>
      <c r="J26" s="52"/>
      <c r="K26" s="115"/>
      <c r="L26" s="54">
        <f t="shared" si="8"/>
        <v>0</v>
      </c>
      <c r="M26" s="115"/>
      <c r="N26" s="54">
        <f t="shared" si="9"/>
        <v>0</v>
      </c>
      <c r="O26" s="54">
        <f t="shared" si="10"/>
        <v>0</v>
      </c>
      <c r="P26" s="1"/>
    </row>
    <row r="27" spans="2:16">
      <c r="B27" s="7" t="str">
        <f t="shared" si="11"/>
        <v/>
      </c>
      <c r="C27" s="50">
        <f>IF(D11="","-",+C26+1)</f>
        <v>2034</v>
      </c>
      <c r="D27" s="55">
        <f>IF(F26+SUM(E$17:E26)=D$10,F26,D$10-SUM(E$17:E26))</f>
        <v>0</v>
      </c>
      <c r="E27" s="56">
        <f t="shared" si="3"/>
        <v>0</v>
      </c>
      <c r="F27" s="55">
        <f t="shared" si="4"/>
        <v>0</v>
      </c>
      <c r="G27" s="57">
        <f t="shared" si="5"/>
        <v>0</v>
      </c>
      <c r="H27" s="42">
        <f t="shared" si="6"/>
        <v>0</v>
      </c>
      <c r="I27" s="52">
        <f t="shared" si="7"/>
        <v>0</v>
      </c>
      <c r="J27" s="52"/>
      <c r="K27" s="115"/>
      <c r="L27" s="54">
        <f t="shared" si="8"/>
        <v>0</v>
      </c>
      <c r="M27" s="115"/>
      <c r="N27" s="54">
        <f t="shared" si="9"/>
        <v>0</v>
      </c>
      <c r="O27" s="54">
        <f t="shared" si="10"/>
        <v>0</v>
      </c>
      <c r="P27" s="1"/>
    </row>
    <row r="28" spans="2:16">
      <c r="B28" s="7" t="str">
        <f t="shared" si="11"/>
        <v/>
      </c>
      <c r="C28" s="50">
        <f>IF(D11="","-",+C27+1)</f>
        <v>2035</v>
      </c>
      <c r="D28" s="55">
        <f>IF(F27+SUM(E$17:E27)=D$10,F27,D$10-SUM(E$17:E27))</f>
        <v>0</v>
      </c>
      <c r="E28" s="56">
        <f t="shared" si="3"/>
        <v>0</v>
      </c>
      <c r="F28" s="55">
        <f t="shared" si="4"/>
        <v>0</v>
      </c>
      <c r="G28" s="57">
        <f t="shared" si="5"/>
        <v>0</v>
      </c>
      <c r="H28" s="42">
        <f t="shared" si="6"/>
        <v>0</v>
      </c>
      <c r="I28" s="52">
        <f t="shared" si="7"/>
        <v>0</v>
      </c>
      <c r="J28" s="52"/>
      <c r="K28" s="115"/>
      <c r="L28" s="54">
        <f t="shared" si="8"/>
        <v>0</v>
      </c>
      <c r="M28" s="115"/>
      <c r="N28" s="54">
        <f t="shared" si="9"/>
        <v>0</v>
      </c>
      <c r="O28" s="54">
        <f t="shared" si="10"/>
        <v>0</v>
      </c>
      <c r="P28" s="1"/>
    </row>
    <row r="29" spans="2:16">
      <c r="B29" s="7" t="str">
        <f t="shared" si="11"/>
        <v/>
      </c>
      <c r="C29" s="50">
        <f>IF(D11="","-",+C28+1)</f>
        <v>2036</v>
      </c>
      <c r="D29" s="55">
        <f>IF(F28+SUM(E$17:E28)=D$10,F28,D$10-SUM(E$17:E28))</f>
        <v>0</v>
      </c>
      <c r="E29" s="56">
        <f t="shared" si="3"/>
        <v>0</v>
      </c>
      <c r="F29" s="55">
        <f t="shared" si="4"/>
        <v>0</v>
      </c>
      <c r="G29" s="57">
        <f t="shared" si="5"/>
        <v>0</v>
      </c>
      <c r="H29" s="42">
        <f t="shared" si="6"/>
        <v>0</v>
      </c>
      <c r="I29" s="52">
        <f t="shared" si="7"/>
        <v>0</v>
      </c>
      <c r="J29" s="52"/>
      <c r="K29" s="115"/>
      <c r="L29" s="54">
        <f t="shared" si="8"/>
        <v>0</v>
      </c>
      <c r="M29" s="115"/>
      <c r="N29" s="54">
        <f t="shared" si="9"/>
        <v>0</v>
      </c>
      <c r="O29" s="54">
        <f t="shared" si="10"/>
        <v>0</v>
      </c>
      <c r="P29" s="1"/>
    </row>
    <row r="30" spans="2:16">
      <c r="B30" s="7" t="str">
        <f t="shared" si="11"/>
        <v/>
      </c>
      <c r="C30" s="50">
        <f>IF(D11="","-",+C29+1)</f>
        <v>2037</v>
      </c>
      <c r="D30" s="55">
        <f>IF(F29+SUM(E$17:E29)=D$10,F29,D$10-SUM(E$17:E29))</f>
        <v>0</v>
      </c>
      <c r="E30" s="56">
        <f t="shared" si="3"/>
        <v>0</v>
      </c>
      <c r="F30" s="55">
        <f t="shared" si="4"/>
        <v>0</v>
      </c>
      <c r="G30" s="57">
        <f t="shared" si="5"/>
        <v>0</v>
      </c>
      <c r="H30" s="42">
        <f t="shared" si="6"/>
        <v>0</v>
      </c>
      <c r="I30" s="52">
        <f t="shared" si="7"/>
        <v>0</v>
      </c>
      <c r="J30" s="52"/>
      <c r="K30" s="115"/>
      <c r="L30" s="54">
        <f t="shared" si="8"/>
        <v>0</v>
      </c>
      <c r="M30" s="115"/>
      <c r="N30" s="54">
        <f t="shared" si="9"/>
        <v>0</v>
      </c>
      <c r="O30" s="54">
        <f t="shared" si="10"/>
        <v>0</v>
      </c>
      <c r="P30" s="1"/>
    </row>
    <row r="31" spans="2:16">
      <c r="B31" s="7" t="str">
        <f t="shared" si="11"/>
        <v/>
      </c>
      <c r="C31" s="50">
        <f>IF(D11="","-",+C30+1)</f>
        <v>2038</v>
      </c>
      <c r="D31" s="55">
        <f>IF(F30+SUM(E$17:E30)=D$10,F30,D$10-SUM(E$17:E30))</f>
        <v>0</v>
      </c>
      <c r="E31" s="56">
        <f t="shared" si="3"/>
        <v>0</v>
      </c>
      <c r="F31" s="55">
        <f t="shared" si="4"/>
        <v>0</v>
      </c>
      <c r="G31" s="57">
        <f t="shared" si="5"/>
        <v>0</v>
      </c>
      <c r="H31" s="42">
        <f t="shared" si="6"/>
        <v>0</v>
      </c>
      <c r="I31" s="52">
        <f t="shared" si="7"/>
        <v>0</v>
      </c>
      <c r="J31" s="52"/>
      <c r="K31" s="115"/>
      <c r="L31" s="54">
        <f t="shared" si="8"/>
        <v>0</v>
      </c>
      <c r="M31" s="115"/>
      <c r="N31" s="54">
        <f t="shared" si="9"/>
        <v>0</v>
      </c>
      <c r="O31" s="54">
        <f t="shared" si="10"/>
        <v>0</v>
      </c>
      <c r="P31" s="1"/>
    </row>
    <row r="32" spans="2:16">
      <c r="B32" s="7" t="str">
        <f t="shared" si="11"/>
        <v/>
      </c>
      <c r="C32" s="50">
        <f>IF(D11="","-",+C31+1)</f>
        <v>2039</v>
      </c>
      <c r="D32" s="55">
        <f>IF(F31+SUM(E$17:E31)=D$10,F31,D$10-SUM(E$17:E31))</f>
        <v>0</v>
      </c>
      <c r="E32" s="56">
        <f t="shared" si="3"/>
        <v>0</v>
      </c>
      <c r="F32" s="55">
        <f t="shared" si="4"/>
        <v>0</v>
      </c>
      <c r="G32" s="57">
        <f t="shared" si="5"/>
        <v>0</v>
      </c>
      <c r="H32" s="42">
        <f t="shared" si="6"/>
        <v>0</v>
      </c>
      <c r="I32" s="52">
        <f t="shared" si="7"/>
        <v>0</v>
      </c>
      <c r="J32" s="52"/>
      <c r="K32" s="115"/>
      <c r="L32" s="54">
        <f t="shared" si="8"/>
        <v>0</v>
      </c>
      <c r="M32" s="115"/>
      <c r="N32" s="54">
        <f t="shared" si="9"/>
        <v>0</v>
      </c>
      <c r="O32" s="54">
        <f t="shared" si="10"/>
        <v>0</v>
      </c>
      <c r="P32" s="1"/>
    </row>
    <row r="33" spans="2:16">
      <c r="B33" s="7" t="str">
        <f t="shared" si="11"/>
        <v/>
      </c>
      <c r="C33" s="50">
        <f>IF(D11="","-",+C32+1)</f>
        <v>2040</v>
      </c>
      <c r="D33" s="55">
        <f>IF(F32+SUM(E$17:E32)=D$10,F32,D$10-SUM(E$17:E32))</f>
        <v>0</v>
      </c>
      <c r="E33" s="56">
        <f t="shared" si="3"/>
        <v>0</v>
      </c>
      <c r="F33" s="55">
        <f t="shared" si="4"/>
        <v>0</v>
      </c>
      <c r="G33" s="57">
        <f t="shared" si="5"/>
        <v>0</v>
      </c>
      <c r="H33" s="42">
        <f t="shared" si="6"/>
        <v>0</v>
      </c>
      <c r="I33" s="52">
        <f t="shared" si="7"/>
        <v>0</v>
      </c>
      <c r="J33" s="52"/>
      <c r="K33" s="115"/>
      <c r="L33" s="54">
        <f t="shared" si="8"/>
        <v>0</v>
      </c>
      <c r="M33" s="115"/>
      <c r="N33" s="54">
        <f t="shared" si="9"/>
        <v>0</v>
      </c>
      <c r="O33" s="54">
        <f t="shared" si="10"/>
        <v>0</v>
      </c>
      <c r="P33" s="1"/>
    </row>
    <row r="34" spans="2:16">
      <c r="B34" s="7" t="str">
        <f t="shared" si="11"/>
        <v/>
      </c>
      <c r="C34" s="50">
        <f>IF(D11="","-",+C33+1)</f>
        <v>2041</v>
      </c>
      <c r="D34" s="55">
        <f>IF(F33+SUM(E$17:E33)=D$10,F33,D$10-SUM(E$17:E33))</f>
        <v>0</v>
      </c>
      <c r="E34" s="56">
        <f t="shared" si="3"/>
        <v>0</v>
      </c>
      <c r="F34" s="55">
        <f t="shared" si="4"/>
        <v>0</v>
      </c>
      <c r="G34" s="57">
        <f t="shared" si="5"/>
        <v>0</v>
      </c>
      <c r="H34" s="42">
        <f t="shared" si="6"/>
        <v>0</v>
      </c>
      <c r="I34" s="52">
        <f t="shared" si="7"/>
        <v>0</v>
      </c>
      <c r="J34" s="52"/>
      <c r="K34" s="115"/>
      <c r="L34" s="54">
        <f t="shared" si="8"/>
        <v>0</v>
      </c>
      <c r="M34" s="115"/>
      <c r="N34" s="54">
        <f t="shared" si="9"/>
        <v>0</v>
      </c>
      <c r="O34" s="54">
        <f t="shared" si="10"/>
        <v>0</v>
      </c>
      <c r="P34" s="1"/>
    </row>
    <row r="35" spans="2:16">
      <c r="B35" s="7" t="str">
        <f t="shared" si="11"/>
        <v/>
      </c>
      <c r="C35" s="50">
        <f>IF(D11="","-",+C34+1)</f>
        <v>2042</v>
      </c>
      <c r="D35" s="55">
        <f>IF(F34+SUM(E$17:E34)=D$10,F34,D$10-SUM(E$17:E34))</f>
        <v>0</v>
      </c>
      <c r="E35" s="56">
        <f t="shared" si="3"/>
        <v>0</v>
      </c>
      <c r="F35" s="55">
        <f t="shared" si="4"/>
        <v>0</v>
      </c>
      <c r="G35" s="57">
        <f t="shared" si="5"/>
        <v>0</v>
      </c>
      <c r="H35" s="42">
        <f t="shared" si="6"/>
        <v>0</v>
      </c>
      <c r="I35" s="52">
        <f t="shared" si="7"/>
        <v>0</v>
      </c>
      <c r="J35" s="52"/>
      <c r="K35" s="115"/>
      <c r="L35" s="54">
        <f t="shared" si="8"/>
        <v>0</v>
      </c>
      <c r="M35" s="115"/>
      <c r="N35" s="54">
        <f t="shared" si="9"/>
        <v>0</v>
      </c>
      <c r="O35" s="54">
        <f t="shared" si="10"/>
        <v>0</v>
      </c>
      <c r="P35" s="1"/>
    </row>
    <row r="36" spans="2:16">
      <c r="B36" s="7" t="str">
        <f t="shared" si="11"/>
        <v/>
      </c>
      <c r="C36" s="50">
        <f>IF(D11="","-",+C35+1)</f>
        <v>2043</v>
      </c>
      <c r="D36" s="55">
        <f>IF(F35+SUM(E$17:E35)=D$10,F35,D$10-SUM(E$17:E35))</f>
        <v>0</v>
      </c>
      <c r="E36" s="56">
        <f t="shared" si="3"/>
        <v>0</v>
      </c>
      <c r="F36" s="55">
        <f t="shared" si="4"/>
        <v>0</v>
      </c>
      <c r="G36" s="57">
        <f t="shared" si="5"/>
        <v>0</v>
      </c>
      <c r="H36" s="42">
        <f t="shared" si="6"/>
        <v>0</v>
      </c>
      <c r="I36" s="52">
        <f t="shared" si="7"/>
        <v>0</v>
      </c>
      <c r="J36" s="52"/>
      <c r="K36" s="115"/>
      <c r="L36" s="54">
        <f t="shared" si="8"/>
        <v>0</v>
      </c>
      <c r="M36" s="115"/>
      <c r="N36" s="54">
        <f t="shared" si="9"/>
        <v>0</v>
      </c>
      <c r="O36" s="54">
        <f t="shared" si="10"/>
        <v>0</v>
      </c>
      <c r="P36" s="1"/>
    </row>
    <row r="37" spans="2:16">
      <c r="B37" s="7" t="str">
        <f t="shared" si="11"/>
        <v/>
      </c>
      <c r="C37" s="50">
        <f>IF(D11="","-",+C36+1)</f>
        <v>2044</v>
      </c>
      <c r="D37" s="55">
        <f>IF(F36+SUM(E$17:E36)=D$10,F36,D$10-SUM(E$17:E36))</f>
        <v>0</v>
      </c>
      <c r="E37" s="56">
        <f t="shared" si="3"/>
        <v>0</v>
      </c>
      <c r="F37" s="55">
        <f t="shared" si="4"/>
        <v>0</v>
      </c>
      <c r="G37" s="57">
        <f t="shared" si="5"/>
        <v>0</v>
      </c>
      <c r="H37" s="42">
        <f t="shared" si="6"/>
        <v>0</v>
      </c>
      <c r="I37" s="52">
        <f t="shared" si="7"/>
        <v>0</v>
      </c>
      <c r="J37" s="52"/>
      <c r="K37" s="115"/>
      <c r="L37" s="54">
        <f t="shared" si="8"/>
        <v>0</v>
      </c>
      <c r="M37" s="115"/>
      <c r="N37" s="54">
        <f t="shared" si="9"/>
        <v>0</v>
      </c>
      <c r="O37" s="54">
        <f t="shared" si="10"/>
        <v>0</v>
      </c>
      <c r="P37" s="1"/>
    </row>
    <row r="38" spans="2:16">
      <c r="B38" s="7" t="str">
        <f t="shared" si="11"/>
        <v/>
      </c>
      <c r="C38" s="50">
        <f>IF(D11="","-",+C37+1)</f>
        <v>2045</v>
      </c>
      <c r="D38" s="55">
        <f>IF(F37+SUM(E$17:E37)=D$10,F37,D$10-SUM(E$17:E37))</f>
        <v>0</v>
      </c>
      <c r="E38" s="56">
        <f t="shared" si="3"/>
        <v>0</v>
      </c>
      <c r="F38" s="55">
        <f t="shared" si="4"/>
        <v>0</v>
      </c>
      <c r="G38" s="57">
        <f t="shared" si="5"/>
        <v>0</v>
      </c>
      <c r="H38" s="42">
        <f t="shared" si="6"/>
        <v>0</v>
      </c>
      <c r="I38" s="52">
        <f t="shared" si="7"/>
        <v>0</v>
      </c>
      <c r="J38" s="52"/>
      <c r="K38" s="115"/>
      <c r="L38" s="54">
        <f t="shared" si="8"/>
        <v>0</v>
      </c>
      <c r="M38" s="115"/>
      <c r="N38" s="54">
        <f t="shared" si="9"/>
        <v>0</v>
      </c>
      <c r="O38" s="54">
        <f t="shared" si="10"/>
        <v>0</v>
      </c>
      <c r="P38" s="1"/>
    </row>
    <row r="39" spans="2:16">
      <c r="B39" s="7" t="str">
        <f t="shared" si="11"/>
        <v/>
      </c>
      <c r="C39" s="50">
        <f>IF(D11="","-",+C38+1)</f>
        <v>2046</v>
      </c>
      <c r="D39" s="55">
        <f>IF(F38+SUM(E$17:E38)=D$10,F38,D$10-SUM(E$17:E38))</f>
        <v>0</v>
      </c>
      <c r="E39" s="56">
        <f t="shared" si="3"/>
        <v>0</v>
      </c>
      <c r="F39" s="55">
        <f t="shared" si="4"/>
        <v>0</v>
      </c>
      <c r="G39" s="57">
        <f t="shared" si="5"/>
        <v>0</v>
      </c>
      <c r="H39" s="42">
        <f t="shared" si="6"/>
        <v>0</v>
      </c>
      <c r="I39" s="52">
        <f t="shared" si="7"/>
        <v>0</v>
      </c>
      <c r="J39" s="52"/>
      <c r="K39" s="115"/>
      <c r="L39" s="54">
        <f t="shared" si="8"/>
        <v>0</v>
      </c>
      <c r="M39" s="115"/>
      <c r="N39" s="54">
        <f t="shared" si="9"/>
        <v>0</v>
      </c>
      <c r="O39" s="54">
        <f t="shared" si="10"/>
        <v>0</v>
      </c>
      <c r="P39" s="1"/>
    </row>
    <row r="40" spans="2:16">
      <c r="B40" s="7" t="str">
        <f t="shared" si="11"/>
        <v/>
      </c>
      <c r="C40" s="50">
        <f>IF(D11="","-",+C39+1)</f>
        <v>2047</v>
      </c>
      <c r="D40" s="55">
        <f>IF(F39+SUM(E$17:E39)=D$10,F39,D$10-SUM(E$17:E39))</f>
        <v>0</v>
      </c>
      <c r="E40" s="56">
        <f t="shared" si="3"/>
        <v>0</v>
      </c>
      <c r="F40" s="55">
        <f t="shared" si="4"/>
        <v>0</v>
      </c>
      <c r="G40" s="57">
        <f t="shared" si="5"/>
        <v>0</v>
      </c>
      <c r="H40" s="42">
        <f t="shared" si="6"/>
        <v>0</v>
      </c>
      <c r="I40" s="52">
        <f t="shared" si="7"/>
        <v>0</v>
      </c>
      <c r="J40" s="52"/>
      <c r="K40" s="115"/>
      <c r="L40" s="54">
        <f t="shared" si="8"/>
        <v>0</v>
      </c>
      <c r="M40" s="115"/>
      <c r="N40" s="54">
        <f t="shared" si="9"/>
        <v>0</v>
      </c>
      <c r="O40" s="54">
        <f t="shared" si="10"/>
        <v>0</v>
      </c>
      <c r="P40" s="1"/>
    </row>
    <row r="41" spans="2:16">
      <c r="B41" s="7" t="str">
        <f t="shared" si="11"/>
        <v/>
      </c>
      <c r="C41" s="50">
        <f>IF(D11="","-",+C40+1)</f>
        <v>2048</v>
      </c>
      <c r="D41" s="55">
        <f>IF(F40+SUM(E$17:E40)=D$10,F40,D$10-SUM(E$17:E40))</f>
        <v>0</v>
      </c>
      <c r="E41" s="56">
        <f t="shared" si="3"/>
        <v>0</v>
      </c>
      <c r="F41" s="55">
        <f t="shared" si="4"/>
        <v>0</v>
      </c>
      <c r="G41" s="57">
        <f t="shared" si="5"/>
        <v>0</v>
      </c>
      <c r="H41" s="42">
        <f t="shared" si="6"/>
        <v>0</v>
      </c>
      <c r="I41" s="52">
        <f t="shared" si="7"/>
        <v>0</v>
      </c>
      <c r="J41" s="52"/>
      <c r="K41" s="115"/>
      <c r="L41" s="54">
        <f t="shared" si="8"/>
        <v>0</v>
      </c>
      <c r="M41" s="115"/>
      <c r="N41" s="54">
        <f t="shared" si="9"/>
        <v>0</v>
      </c>
      <c r="O41" s="54">
        <f t="shared" si="10"/>
        <v>0</v>
      </c>
      <c r="P41" s="1"/>
    </row>
    <row r="42" spans="2:16">
      <c r="B42" s="7" t="str">
        <f t="shared" si="11"/>
        <v/>
      </c>
      <c r="C42" s="50">
        <f>IF(D11="","-",+C41+1)</f>
        <v>2049</v>
      </c>
      <c r="D42" s="55">
        <f>IF(F41+SUM(E$17:E41)=D$10,F41,D$10-SUM(E$17:E41))</f>
        <v>0</v>
      </c>
      <c r="E42" s="56">
        <f t="shared" si="3"/>
        <v>0</v>
      </c>
      <c r="F42" s="55">
        <f t="shared" si="4"/>
        <v>0</v>
      </c>
      <c r="G42" s="57">
        <f t="shared" si="5"/>
        <v>0</v>
      </c>
      <c r="H42" s="42">
        <f t="shared" si="6"/>
        <v>0</v>
      </c>
      <c r="I42" s="52">
        <f t="shared" si="7"/>
        <v>0</v>
      </c>
      <c r="J42" s="52"/>
      <c r="K42" s="115"/>
      <c r="L42" s="54">
        <f t="shared" si="8"/>
        <v>0</v>
      </c>
      <c r="M42" s="115"/>
      <c r="N42" s="54">
        <f t="shared" si="9"/>
        <v>0</v>
      </c>
      <c r="O42" s="54">
        <f t="shared" si="10"/>
        <v>0</v>
      </c>
      <c r="P42" s="1"/>
    </row>
    <row r="43" spans="2:16">
      <c r="B43" s="7" t="str">
        <f t="shared" si="11"/>
        <v/>
      </c>
      <c r="C43" s="50">
        <f>IF(D11="","-",+C42+1)</f>
        <v>2050</v>
      </c>
      <c r="D43" s="55">
        <f>IF(F42+SUM(E$17:E42)=D$10,F42,D$10-SUM(E$17:E42))</f>
        <v>0</v>
      </c>
      <c r="E43" s="56">
        <f t="shared" si="3"/>
        <v>0</v>
      </c>
      <c r="F43" s="55">
        <f t="shared" si="4"/>
        <v>0</v>
      </c>
      <c r="G43" s="57">
        <f t="shared" si="5"/>
        <v>0</v>
      </c>
      <c r="H43" s="42">
        <f t="shared" si="6"/>
        <v>0</v>
      </c>
      <c r="I43" s="52">
        <f t="shared" si="7"/>
        <v>0</v>
      </c>
      <c r="J43" s="52"/>
      <c r="K43" s="115"/>
      <c r="L43" s="54">
        <f t="shared" si="8"/>
        <v>0</v>
      </c>
      <c r="M43" s="115"/>
      <c r="N43" s="54">
        <f t="shared" si="9"/>
        <v>0</v>
      </c>
      <c r="O43" s="54">
        <f t="shared" si="10"/>
        <v>0</v>
      </c>
      <c r="P43" s="1"/>
    </row>
    <row r="44" spans="2:16">
      <c r="B44" s="7" t="str">
        <f t="shared" si="11"/>
        <v/>
      </c>
      <c r="C44" s="50">
        <f>IF(D11="","-",+C43+1)</f>
        <v>2051</v>
      </c>
      <c r="D44" s="55">
        <f>IF(F43+SUM(E$17:E43)=D$10,F43,D$10-SUM(E$17:E43))</f>
        <v>0</v>
      </c>
      <c r="E44" s="56">
        <f t="shared" si="3"/>
        <v>0</v>
      </c>
      <c r="F44" s="55">
        <f t="shared" si="4"/>
        <v>0</v>
      </c>
      <c r="G44" s="57">
        <f t="shared" si="5"/>
        <v>0</v>
      </c>
      <c r="H44" s="42">
        <f t="shared" si="6"/>
        <v>0</v>
      </c>
      <c r="I44" s="52">
        <f t="shared" si="7"/>
        <v>0</v>
      </c>
      <c r="J44" s="52"/>
      <c r="K44" s="115"/>
      <c r="L44" s="54">
        <f t="shared" si="8"/>
        <v>0</v>
      </c>
      <c r="M44" s="115"/>
      <c r="N44" s="54">
        <f t="shared" si="9"/>
        <v>0</v>
      </c>
      <c r="O44" s="54">
        <f t="shared" si="10"/>
        <v>0</v>
      </c>
      <c r="P44" s="1"/>
    </row>
    <row r="45" spans="2:16">
      <c r="B45" s="7" t="str">
        <f t="shared" si="11"/>
        <v/>
      </c>
      <c r="C45" s="50">
        <f>IF(D11="","-",+C44+1)</f>
        <v>2052</v>
      </c>
      <c r="D45" s="55">
        <f>IF(F44+SUM(E$17:E44)=D$10,F44,D$10-SUM(E$17:E44))</f>
        <v>0</v>
      </c>
      <c r="E45" s="56">
        <f t="shared" si="3"/>
        <v>0</v>
      </c>
      <c r="F45" s="55">
        <f t="shared" si="4"/>
        <v>0</v>
      </c>
      <c r="G45" s="57">
        <f t="shared" si="5"/>
        <v>0</v>
      </c>
      <c r="H45" s="42">
        <f t="shared" si="6"/>
        <v>0</v>
      </c>
      <c r="I45" s="52">
        <f t="shared" si="7"/>
        <v>0</v>
      </c>
      <c r="J45" s="52"/>
      <c r="K45" s="115"/>
      <c r="L45" s="54">
        <f t="shared" si="8"/>
        <v>0</v>
      </c>
      <c r="M45" s="115"/>
      <c r="N45" s="54">
        <f t="shared" si="9"/>
        <v>0</v>
      </c>
      <c r="O45" s="54">
        <f t="shared" si="10"/>
        <v>0</v>
      </c>
      <c r="P45" s="1"/>
    </row>
    <row r="46" spans="2:16">
      <c r="B46" s="7" t="str">
        <f t="shared" si="11"/>
        <v/>
      </c>
      <c r="C46" s="50">
        <f>IF(D11="","-",+C45+1)</f>
        <v>2053</v>
      </c>
      <c r="D46" s="55">
        <f>IF(F45+SUM(E$17:E45)=D$10,F45,D$10-SUM(E$17:E45))</f>
        <v>0</v>
      </c>
      <c r="E46" s="56">
        <f t="shared" si="3"/>
        <v>0</v>
      </c>
      <c r="F46" s="55">
        <f t="shared" si="4"/>
        <v>0</v>
      </c>
      <c r="G46" s="57">
        <f t="shared" si="5"/>
        <v>0</v>
      </c>
      <c r="H46" s="42">
        <f t="shared" si="6"/>
        <v>0</v>
      </c>
      <c r="I46" s="52">
        <f t="shared" si="7"/>
        <v>0</v>
      </c>
      <c r="J46" s="52"/>
      <c r="K46" s="115"/>
      <c r="L46" s="54">
        <f t="shared" si="8"/>
        <v>0</v>
      </c>
      <c r="M46" s="115"/>
      <c r="N46" s="54">
        <f t="shared" si="9"/>
        <v>0</v>
      </c>
      <c r="O46" s="54">
        <f t="shared" si="10"/>
        <v>0</v>
      </c>
      <c r="P46" s="1"/>
    </row>
    <row r="47" spans="2:16">
      <c r="B47" s="7" t="str">
        <f t="shared" si="11"/>
        <v/>
      </c>
      <c r="C47" s="50">
        <f>IF(D11="","-",+C46+1)</f>
        <v>2054</v>
      </c>
      <c r="D47" s="55">
        <f>IF(F46+SUM(E$17:E46)=D$10,F46,D$10-SUM(E$17:E46))</f>
        <v>0</v>
      </c>
      <c r="E47" s="56">
        <f t="shared" si="3"/>
        <v>0</v>
      </c>
      <c r="F47" s="55">
        <f t="shared" si="4"/>
        <v>0</v>
      </c>
      <c r="G47" s="57">
        <f t="shared" si="5"/>
        <v>0</v>
      </c>
      <c r="H47" s="42">
        <f t="shared" si="6"/>
        <v>0</v>
      </c>
      <c r="I47" s="52">
        <f t="shared" si="7"/>
        <v>0</v>
      </c>
      <c r="J47" s="52"/>
      <c r="K47" s="115"/>
      <c r="L47" s="54">
        <f t="shared" si="8"/>
        <v>0</v>
      </c>
      <c r="M47" s="115"/>
      <c r="N47" s="54">
        <f t="shared" si="9"/>
        <v>0</v>
      </c>
      <c r="O47" s="54">
        <f t="shared" si="10"/>
        <v>0</v>
      </c>
      <c r="P47" s="1"/>
    </row>
    <row r="48" spans="2:16">
      <c r="B48" s="7" t="str">
        <f t="shared" si="11"/>
        <v/>
      </c>
      <c r="C48" s="50">
        <f>IF(D11="","-",+C47+1)</f>
        <v>2055</v>
      </c>
      <c r="D48" s="55">
        <f>IF(F47+SUM(E$17:E47)=D$10,F47,D$10-SUM(E$17:E47))</f>
        <v>0</v>
      </c>
      <c r="E48" s="56">
        <f t="shared" si="3"/>
        <v>0</v>
      </c>
      <c r="F48" s="55">
        <f t="shared" si="4"/>
        <v>0</v>
      </c>
      <c r="G48" s="57">
        <f t="shared" si="5"/>
        <v>0</v>
      </c>
      <c r="H48" s="42">
        <f t="shared" si="6"/>
        <v>0</v>
      </c>
      <c r="I48" s="52">
        <f t="shared" si="7"/>
        <v>0</v>
      </c>
      <c r="J48" s="52"/>
      <c r="K48" s="115"/>
      <c r="L48" s="54">
        <f t="shared" si="8"/>
        <v>0</v>
      </c>
      <c r="M48" s="115"/>
      <c r="N48" s="54">
        <f t="shared" si="9"/>
        <v>0</v>
      </c>
      <c r="O48" s="54">
        <f t="shared" si="10"/>
        <v>0</v>
      </c>
      <c r="P48" s="1"/>
    </row>
    <row r="49" spans="2:16">
      <c r="B49" s="7" t="str">
        <f t="shared" si="11"/>
        <v/>
      </c>
      <c r="C49" s="50">
        <f>IF(D11="","-",+C48+1)</f>
        <v>2056</v>
      </c>
      <c r="D49" s="55">
        <f>IF(F48+SUM(E$17:E48)=D$10,F48,D$10-SUM(E$17:E48))</f>
        <v>0</v>
      </c>
      <c r="E49" s="56">
        <f t="shared" si="3"/>
        <v>0</v>
      </c>
      <c r="F49" s="55">
        <f t="shared" si="4"/>
        <v>0</v>
      </c>
      <c r="G49" s="57">
        <f t="shared" si="5"/>
        <v>0</v>
      </c>
      <c r="H49" s="42">
        <f t="shared" si="6"/>
        <v>0</v>
      </c>
      <c r="I49" s="52">
        <f t="shared" si="7"/>
        <v>0</v>
      </c>
      <c r="J49" s="52"/>
      <c r="K49" s="115"/>
      <c r="L49" s="54">
        <f t="shared" si="8"/>
        <v>0</v>
      </c>
      <c r="M49" s="115"/>
      <c r="N49" s="54">
        <f t="shared" si="9"/>
        <v>0</v>
      </c>
      <c r="O49" s="54">
        <f t="shared" si="10"/>
        <v>0</v>
      </c>
      <c r="P49" s="1"/>
    </row>
    <row r="50" spans="2:16">
      <c r="B50" s="7" t="str">
        <f t="shared" si="11"/>
        <v/>
      </c>
      <c r="C50" s="50">
        <f>IF(D11="","-",+C49+1)</f>
        <v>2057</v>
      </c>
      <c r="D50" s="55">
        <f>IF(F49+SUM(E$17:E49)=D$10,F49,D$10-SUM(E$17:E49))</f>
        <v>0</v>
      </c>
      <c r="E50" s="56">
        <f t="shared" si="3"/>
        <v>0</v>
      </c>
      <c r="F50" s="55">
        <f t="shared" si="4"/>
        <v>0</v>
      </c>
      <c r="G50" s="57">
        <f t="shared" si="5"/>
        <v>0</v>
      </c>
      <c r="H50" s="42">
        <f t="shared" si="6"/>
        <v>0</v>
      </c>
      <c r="I50" s="52">
        <f t="shared" si="7"/>
        <v>0</v>
      </c>
      <c r="J50" s="52"/>
      <c r="K50" s="115"/>
      <c r="L50" s="54">
        <f t="shared" si="8"/>
        <v>0</v>
      </c>
      <c r="M50" s="115"/>
      <c r="N50" s="54">
        <f t="shared" si="9"/>
        <v>0</v>
      </c>
      <c r="O50" s="54">
        <f t="shared" si="10"/>
        <v>0</v>
      </c>
      <c r="P50" s="1"/>
    </row>
    <row r="51" spans="2:16">
      <c r="B51" s="7" t="str">
        <f t="shared" si="11"/>
        <v/>
      </c>
      <c r="C51" s="50">
        <f>IF(D11="","-",+C50+1)</f>
        <v>2058</v>
      </c>
      <c r="D51" s="55">
        <f>IF(F50+SUM(E$17:E50)=D$10,F50,D$10-SUM(E$17:E50))</f>
        <v>0</v>
      </c>
      <c r="E51" s="56">
        <f t="shared" si="3"/>
        <v>0</v>
      </c>
      <c r="F51" s="55">
        <f t="shared" si="4"/>
        <v>0</v>
      </c>
      <c r="G51" s="57">
        <f t="shared" si="5"/>
        <v>0</v>
      </c>
      <c r="H51" s="42">
        <f t="shared" si="6"/>
        <v>0</v>
      </c>
      <c r="I51" s="52">
        <f t="shared" si="7"/>
        <v>0</v>
      </c>
      <c r="J51" s="52"/>
      <c r="K51" s="115"/>
      <c r="L51" s="54">
        <f t="shared" si="8"/>
        <v>0</v>
      </c>
      <c r="M51" s="115"/>
      <c r="N51" s="54">
        <f t="shared" si="9"/>
        <v>0</v>
      </c>
      <c r="O51" s="54">
        <f t="shared" si="10"/>
        <v>0</v>
      </c>
      <c r="P51" s="1"/>
    </row>
    <row r="52" spans="2:16">
      <c r="B52" s="7" t="str">
        <f t="shared" si="11"/>
        <v/>
      </c>
      <c r="C52" s="50">
        <f>IF(D11="","-",+C51+1)</f>
        <v>2059</v>
      </c>
      <c r="D52" s="55">
        <f>IF(F51+SUM(E$17:E51)=D$10,F51,D$10-SUM(E$17:E51))</f>
        <v>0</v>
      </c>
      <c r="E52" s="56">
        <f t="shared" si="3"/>
        <v>0</v>
      </c>
      <c r="F52" s="55">
        <f t="shared" si="4"/>
        <v>0</v>
      </c>
      <c r="G52" s="57">
        <f t="shared" si="5"/>
        <v>0</v>
      </c>
      <c r="H52" s="42">
        <f t="shared" si="6"/>
        <v>0</v>
      </c>
      <c r="I52" s="52">
        <f t="shared" si="7"/>
        <v>0</v>
      </c>
      <c r="J52" s="52"/>
      <c r="K52" s="115"/>
      <c r="L52" s="54">
        <f t="shared" si="8"/>
        <v>0</v>
      </c>
      <c r="M52" s="115"/>
      <c r="N52" s="54">
        <f t="shared" si="9"/>
        <v>0</v>
      </c>
      <c r="O52" s="54">
        <f t="shared" si="10"/>
        <v>0</v>
      </c>
      <c r="P52" s="1"/>
    </row>
    <row r="53" spans="2:16">
      <c r="B53" s="7" t="str">
        <f t="shared" si="11"/>
        <v/>
      </c>
      <c r="C53" s="50">
        <f>IF(D11="","-",+C52+1)</f>
        <v>2060</v>
      </c>
      <c r="D53" s="55">
        <f>IF(F52+SUM(E$17:E52)=D$10,F52,D$10-SUM(E$17:E52))</f>
        <v>0</v>
      </c>
      <c r="E53" s="56">
        <f t="shared" si="3"/>
        <v>0</v>
      </c>
      <c r="F53" s="55">
        <f t="shared" si="4"/>
        <v>0</v>
      </c>
      <c r="G53" s="57">
        <f t="shared" si="5"/>
        <v>0</v>
      </c>
      <c r="H53" s="42">
        <f t="shared" si="6"/>
        <v>0</v>
      </c>
      <c r="I53" s="52">
        <f t="shared" si="7"/>
        <v>0</v>
      </c>
      <c r="J53" s="52"/>
      <c r="K53" s="115"/>
      <c r="L53" s="54">
        <f t="shared" si="8"/>
        <v>0</v>
      </c>
      <c r="M53" s="115"/>
      <c r="N53" s="54">
        <f t="shared" si="9"/>
        <v>0</v>
      </c>
      <c r="O53" s="54">
        <f t="shared" si="10"/>
        <v>0</v>
      </c>
      <c r="P53" s="1"/>
    </row>
    <row r="54" spans="2:16">
      <c r="B54" s="7" t="str">
        <f t="shared" si="11"/>
        <v/>
      </c>
      <c r="C54" s="50">
        <f>IF(D11="","-",+C53+1)</f>
        <v>2061</v>
      </c>
      <c r="D54" s="55">
        <f>IF(F53+SUM(E$17:E53)=D$10,F53,D$10-SUM(E$17:E53))</f>
        <v>0</v>
      </c>
      <c r="E54" s="56">
        <f t="shared" si="3"/>
        <v>0</v>
      </c>
      <c r="F54" s="55">
        <f t="shared" si="4"/>
        <v>0</v>
      </c>
      <c r="G54" s="57">
        <f t="shared" si="5"/>
        <v>0</v>
      </c>
      <c r="H54" s="42">
        <f t="shared" si="6"/>
        <v>0</v>
      </c>
      <c r="I54" s="52">
        <f t="shared" si="7"/>
        <v>0</v>
      </c>
      <c r="J54" s="52"/>
      <c r="K54" s="115"/>
      <c r="L54" s="54">
        <f t="shared" si="8"/>
        <v>0</v>
      </c>
      <c r="M54" s="115"/>
      <c r="N54" s="54">
        <f t="shared" si="9"/>
        <v>0</v>
      </c>
      <c r="O54" s="54">
        <f t="shared" si="10"/>
        <v>0</v>
      </c>
      <c r="P54" s="1"/>
    </row>
    <row r="55" spans="2:16">
      <c r="B55" s="7" t="str">
        <f t="shared" si="11"/>
        <v/>
      </c>
      <c r="C55" s="50">
        <f>IF(D11="","-",+C54+1)</f>
        <v>2062</v>
      </c>
      <c r="D55" s="55">
        <f>IF(F54+SUM(E$17:E54)=D$10,F54,D$10-SUM(E$17:E54))</f>
        <v>0</v>
      </c>
      <c r="E55" s="56">
        <f t="shared" si="3"/>
        <v>0</v>
      </c>
      <c r="F55" s="55">
        <f t="shared" si="4"/>
        <v>0</v>
      </c>
      <c r="G55" s="57">
        <f t="shared" si="5"/>
        <v>0</v>
      </c>
      <c r="H55" s="42">
        <f t="shared" si="6"/>
        <v>0</v>
      </c>
      <c r="I55" s="52">
        <f t="shared" si="7"/>
        <v>0</v>
      </c>
      <c r="J55" s="52"/>
      <c r="K55" s="115"/>
      <c r="L55" s="54">
        <f t="shared" si="8"/>
        <v>0</v>
      </c>
      <c r="M55" s="115"/>
      <c r="N55" s="54">
        <f t="shared" si="9"/>
        <v>0</v>
      </c>
      <c r="O55" s="54">
        <f t="shared" si="10"/>
        <v>0</v>
      </c>
      <c r="P55" s="1"/>
    </row>
    <row r="56" spans="2:16">
      <c r="B56" s="7" t="str">
        <f t="shared" si="11"/>
        <v/>
      </c>
      <c r="C56" s="50">
        <f>IF(D11="","-",+C55+1)</f>
        <v>2063</v>
      </c>
      <c r="D56" s="55">
        <f>IF(F55+SUM(E$17:E55)=D$10,F55,D$10-SUM(E$17:E55))</f>
        <v>0</v>
      </c>
      <c r="E56" s="56">
        <f t="shared" si="3"/>
        <v>0</v>
      </c>
      <c r="F56" s="55">
        <f t="shared" si="4"/>
        <v>0</v>
      </c>
      <c r="G56" s="57">
        <f t="shared" si="5"/>
        <v>0</v>
      </c>
      <c r="H56" s="42">
        <f t="shared" si="6"/>
        <v>0</v>
      </c>
      <c r="I56" s="52">
        <f t="shared" si="7"/>
        <v>0</v>
      </c>
      <c r="J56" s="52"/>
      <c r="K56" s="115"/>
      <c r="L56" s="54">
        <f t="shared" si="8"/>
        <v>0</v>
      </c>
      <c r="M56" s="115"/>
      <c r="N56" s="54">
        <f t="shared" si="9"/>
        <v>0</v>
      </c>
      <c r="O56" s="54">
        <f t="shared" si="10"/>
        <v>0</v>
      </c>
      <c r="P56" s="1"/>
    </row>
    <row r="57" spans="2:16">
      <c r="B57" s="7" t="str">
        <f t="shared" si="11"/>
        <v/>
      </c>
      <c r="C57" s="50">
        <f>IF(D11="","-",+C56+1)</f>
        <v>2064</v>
      </c>
      <c r="D57" s="55">
        <f>IF(F56+SUM(E$17:E56)=D$10,F56,D$10-SUM(E$17:E56))</f>
        <v>0</v>
      </c>
      <c r="E57" s="56">
        <f t="shared" si="3"/>
        <v>0</v>
      </c>
      <c r="F57" s="55">
        <f t="shared" si="4"/>
        <v>0</v>
      </c>
      <c r="G57" s="57">
        <f t="shared" si="5"/>
        <v>0</v>
      </c>
      <c r="H57" s="42">
        <f t="shared" si="6"/>
        <v>0</v>
      </c>
      <c r="I57" s="52">
        <f t="shared" si="7"/>
        <v>0</v>
      </c>
      <c r="J57" s="52"/>
      <c r="K57" s="115"/>
      <c r="L57" s="54">
        <f t="shared" si="8"/>
        <v>0</v>
      </c>
      <c r="M57" s="115"/>
      <c r="N57" s="54">
        <f t="shared" si="9"/>
        <v>0</v>
      </c>
      <c r="O57" s="54">
        <f t="shared" si="10"/>
        <v>0</v>
      </c>
      <c r="P57" s="1"/>
    </row>
    <row r="58" spans="2:16">
      <c r="B58" s="7" t="str">
        <f t="shared" si="11"/>
        <v/>
      </c>
      <c r="C58" s="50">
        <f>IF(D11="","-",+C57+1)</f>
        <v>2065</v>
      </c>
      <c r="D58" s="55">
        <f>IF(F57+SUM(E$17:E57)=D$10,F57,D$10-SUM(E$17:E57))</f>
        <v>0</v>
      </c>
      <c r="E58" s="56">
        <f t="shared" si="3"/>
        <v>0</v>
      </c>
      <c r="F58" s="55">
        <f t="shared" si="4"/>
        <v>0</v>
      </c>
      <c r="G58" s="57">
        <f t="shared" si="5"/>
        <v>0</v>
      </c>
      <c r="H58" s="42">
        <f t="shared" si="6"/>
        <v>0</v>
      </c>
      <c r="I58" s="52">
        <f t="shared" si="7"/>
        <v>0</v>
      </c>
      <c r="J58" s="52"/>
      <c r="K58" s="115"/>
      <c r="L58" s="54">
        <f t="shared" si="8"/>
        <v>0</v>
      </c>
      <c r="M58" s="115"/>
      <c r="N58" s="54">
        <f t="shared" si="9"/>
        <v>0</v>
      </c>
      <c r="O58" s="54">
        <f t="shared" si="10"/>
        <v>0</v>
      </c>
      <c r="P58" s="1"/>
    </row>
    <row r="59" spans="2:16">
      <c r="B59" s="7" t="str">
        <f t="shared" si="11"/>
        <v/>
      </c>
      <c r="C59" s="50">
        <f>IF(D11="","-",+C58+1)</f>
        <v>2066</v>
      </c>
      <c r="D59" s="55">
        <f>IF(F58+SUM(E$17:E58)=D$10,F58,D$10-SUM(E$17:E58))</f>
        <v>0</v>
      </c>
      <c r="E59" s="56">
        <f t="shared" si="3"/>
        <v>0</v>
      </c>
      <c r="F59" s="55">
        <f t="shared" si="4"/>
        <v>0</v>
      </c>
      <c r="G59" s="57">
        <f t="shared" si="5"/>
        <v>0</v>
      </c>
      <c r="H59" s="42">
        <f t="shared" si="6"/>
        <v>0</v>
      </c>
      <c r="I59" s="52">
        <f t="shared" si="7"/>
        <v>0</v>
      </c>
      <c r="J59" s="52"/>
      <c r="K59" s="115"/>
      <c r="L59" s="54">
        <f t="shared" si="8"/>
        <v>0</v>
      </c>
      <c r="M59" s="115"/>
      <c r="N59" s="54">
        <f t="shared" si="9"/>
        <v>0</v>
      </c>
      <c r="O59" s="54">
        <f t="shared" si="10"/>
        <v>0</v>
      </c>
      <c r="P59" s="1"/>
    </row>
    <row r="60" spans="2:16">
      <c r="B60" s="7" t="str">
        <f t="shared" si="11"/>
        <v/>
      </c>
      <c r="C60" s="50">
        <f>IF(D11="","-",+C59+1)</f>
        <v>2067</v>
      </c>
      <c r="D60" s="55">
        <f>IF(F59+SUM(E$17:E59)=D$10,F59,D$10-SUM(E$17:E59))</f>
        <v>0</v>
      </c>
      <c r="E60" s="56">
        <f t="shared" si="3"/>
        <v>0</v>
      </c>
      <c r="F60" s="55">
        <f t="shared" si="4"/>
        <v>0</v>
      </c>
      <c r="G60" s="57">
        <f t="shared" si="5"/>
        <v>0</v>
      </c>
      <c r="H60" s="42">
        <f t="shared" si="6"/>
        <v>0</v>
      </c>
      <c r="I60" s="52">
        <f t="shared" si="7"/>
        <v>0</v>
      </c>
      <c r="J60" s="52"/>
      <c r="K60" s="115"/>
      <c r="L60" s="54">
        <f t="shared" si="8"/>
        <v>0</v>
      </c>
      <c r="M60" s="115"/>
      <c r="N60" s="54">
        <f t="shared" si="9"/>
        <v>0</v>
      </c>
      <c r="O60" s="54">
        <f t="shared" si="10"/>
        <v>0</v>
      </c>
      <c r="P60" s="1"/>
    </row>
    <row r="61" spans="2:16">
      <c r="B61" s="7" t="str">
        <f t="shared" si="11"/>
        <v/>
      </c>
      <c r="C61" s="50">
        <f>IF(D11="","-",+C60+1)</f>
        <v>2068</v>
      </c>
      <c r="D61" s="55">
        <f>IF(F60+SUM(E$17:E60)=D$10,F60,D$10-SUM(E$17:E60))</f>
        <v>0</v>
      </c>
      <c r="E61" s="56">
        <f t="shared" si="3"/>
        <v>0</v>
      </c>
      <c r="F61" s="55">
        <f t="shared" si="4"/>
        <v>0</v>
      </c>
      <c r="G61" s="57">
        <f t="shared" si="5"/>
        <v>0</v>
      </c>
      <c r="H61" s="42">
        <f t="shared" si="6"/>
        <v>0</v>
      </c>
      <c r="I61" s="52">
        <f t="shared" si="7"/>
        <v>0</v>
      </c>
      <c r="J61" s="52"/>
      <c r="K61" s="115"/>
      <c r="L61" s="54">
        <f t="shared" si="8"/>
        <v>0</v>
      </c>
      <c r="M61" s="115"/>
      <c r="N61" s="54">
        <f t="shared" si="9"/>
        <v>0</v>
      </c>
      <c r="O61" s="54">
        <f t="shared" si="10"/>
        <v>0</v>
      </c>
      <c r="P61" s="1"/>
    </row>
    <row r="62" spans="2:16">
      <c r="B62" s="7" t="str">
        <f t="shared" si="11"/>
        <v/>
      </c>
      <c r="C62" s="50">
        <f>IF(D11="","-",+C61+1)</f>
        <v>2069</v>
      </c>
      <c r="D62" s="55">
        <f>IF(F61+SUM(E$17:E61)=D$10,F61,D$10-SUM(E$17:E61))</f>
        <v>0</v>
      </c>
      <c r="E62" s="56">
        <f t="shared" si="3"/>
        <v>0</v>
      </c>
      <c r="F62" s="55">
        <f t="shared" si="4"/>
        <v>0</v>
      </c>
      <c r="G62" s="57">
        <f t="shared" si="5"/>
        <v>0</v>
      </c>
      <c r="H62" s="42">
        <f t="shared" si="6"/>
        <v>0</v>
      </c>
      <c r="I62" s="52">
        <f t="shared" si="7"/>
        <v>0</v>
      </c>
      <c r="J62" s="52"/>
      <c r="K62" s="115"/>
      <c r="L62" s="54">
        <f t="shared" si="8"/>
        <v>0</v>
      </c>
      <c r="M62" s="115"/>
      <c r="N62" s="54">
        <f t="shared" si="9"/>
        <v>0</v>
      </c>
      <c r="O62" s="54">
        <f t="shared" si="10"/>
        <v>0</v>
      </c>
      <c r="P62" s="1"/>
    </row>
    <row r="63" spans="2:16">
      <c r="B63" s="7" t="str">
        <f t="shared" si="11"/>
        <v/>
      </c>
      <c r="C63" s="50">
        <f>IF(D11="","-",+C62+1)</f>
        <v>2070</v>
      </c>
      <c r="D63" s="55">
        <f>IF(F62+SUM(E$17:E62)=D$10,F62,D$10-SUM(E$17:E62))</f>
        <v>0</v>
      </c>
      <c r="E63" s="56">
        <f t="shared" si="3"/>
        <v>0</v>
      </c>
      <c r="F63" s="55">
        <f t="shared" si="4"/>
        <v>0</v>
      </c>
      <c r="G63" s="57">
        <f t="shared" si="5"/>
        <v>0</v>
      </c>
      <c r="H63" s="42">
        <f t="shared" si="6"/>
        <v>0</v>
      </c>
      <c r="I63" s="52">
        <f t="shared" si="7"/>
        <v>0</v>
      </c>
      <c r="J63" s="52"/>
      <c r="K63" s="115"/>
      <c r="L63" s="54">
        <f t="shared" si="8"/>
        <v>0</v>
      </c>
      <c r="M63" s="115"/>
      <c r="N63" s="54">
        <f t="shared" si="9"/>
        <v>0</v>
      </c>
      <c r="O63" s="54">
        <f t="shared" si="10"/>
        <v>0</v>
      </c>
      <c r="P63" s="1"/>
    </row>
    <row r="64" spans="2:16">
      <c r="B64" s="7" t="str">
        <f t="shared" si="11"/>
        <v/>
      </c>
      <c r="C64" s="50">
        <f>IF(D11="","-",+C63+1)</f>
        <v>2071</v>
      </c>
      <c r="D64" s="55">
        <f>IF(F63+SUM(E$17:E63)=D$10,F63,D$10-SUM(E$17:E63))</f>
        <v>0</v>
      </c>
      <c r="E64" s="56">
        <f t="shared" si="3"/>
        <v>0</v>
      </c>
      <c r="F64" s="55">
        <f t="shared" si="4"/>
        <v>0</v>
      </c>
      <c r="G64" s="57">
        <f t="shared" si="5"/>
        <v>0</v>
      </c>
      <c r="H64" s="42">
        <f t="shared" si="6"/>
        <v>0</v>
      </c>
      <c r="I64" s="52">
        <f t="shared" si="7"/>
        <v>0</v>
      </c>
      <c r="J64" s="52"/>
      <c r="K64" s="115"/>
      <c r="L64" s="54">
        <f t="shared" si="8"/>
        <v>0</v>
      </c>
      <c r="M64" s="115"/>
      <c r="N64" s="54">
        <f t="shared" si="9"/>
        <v>0</v>
      </c>
      <c r="O64" s="54">
        <f t="shared" si="10"/>
        <v>0</v>
      </c>
      <c r="P64" s="1"/>
    </row>
    <row r="65" spans="2:16">
      <c r="B65" s="7" t="str">
        <f t="shared" si="11"/>
        <v/>
      </c>
      <c r="C65" s="50">
        <f>IF(D11="","-",+C64+1)</f>
        <v>2072</v>
      </c>
      <c r="D65" s="55">
        <f>IF(F64+SUM(E$17:E64)=D$10,F64,D$10-SUM(E$17:E64))</f>
        <v>0</v>
      </c>
      <c r="E65" s="56">
        <f t="shared" si="3"/>
        <v>0</v>
      </c>
      <c r="F65" s="55">
        <f t="shared" si="4"/>
        <v>0</v>
      </c>
      <c r="G65" s="57">
        <f t="shared" si="5"/>
        <v>0</v>
      </c>
      <c r="H65" s="42">
        <f t="shared" si="6"/>
        <v>0</v>
      </c>
      <c r="I65" s="52">
        <f t="shared" si="7"/>
        <v>0</v>
      </c>
      <c r="J65" s="52"/>
      <c r="K65" s="115"/>
      <c r="L65" s="54">
        <f t="shared" si="8"/>
        <v>0</v>
      </c>
      <c r="M65" s="115"/>
      <c r="N65" s="54">
        <f t="shared" si="9"/>
        <v>0</v>
      </c>
      <c r="O65" s="54">
        <f t="shared" si="10"/>
        <v>0</v>
      </c>
      <c r="P65" s="1"/>
    </row>
    <row r="66" spans="2:16">
      <c r="B66" s="7" t="str">
        <f t="shared" si="11"/>
        <v/>
      </c>
      <c r="C66" s="50">
        <f>IF(D11="","-",+C65+1)</f>
        <v>2073</v>
      </c>
      <c r="D66" s="55">
        <f>IF(F65+SUM(E$17:E65)=D$10,F65,D$10-SUM(E$17:E65))</f>
        <v>0</v>
      </c>
      <c r="E66" s="56">
        <f t="shared" si="3"/>
        <v>0</v>
      </c>
      <c r="F66" s="55">
        <f t="shared" si="4"/>
        <v>0</v>
      </c>
      <c r="G66" s="57">
        <f t="shared" si="5"/>
        <v>0</v>
      </c>
      <c r="H66" s="42">
        <f t="shared" si="6"/>
        <v>0</v>
      </c>
      <c r="I66" s="52">
        <f t="shared" si="7"/>
        <v>0</v>
      </c>
      <c r="J66" s="52"/>
      <c r="K66" s="115"/>
      <c r="L66" s="54">
        <f t="shared" si="8"/>
        <v>0</v>
      </c>
      <c r="M66" s="115"/>
      <c r="N66" s="54">
        <f t="shared" si="9"/>
        <v>0</v>
      </c>
      <c r="O66" s="54">
        <f t="shared" si="10"/>
        <v>0</v>
      </c>
      <c r="P66" s="1"/>
    </row>
    <row r="67" spans="2:16">
      <c r="B67" s="7" t="str">
        <f t="shared" si="11"/>
        <v/>
      </c>
      <c r="C67" s="50">
        <f>IF(D11="","-",+C66+1)</f>
        <v>2074</v>
      </c>
      <c r="D67" s="55">
        <f>IF(F66+SUM(E$17:E66)=D$10,F66,D$10-SUM(E$17:E66))</f>
        <v>0</v>
      </c>
      <c r="E67" s="56">
        <f t="shared" si="3"/>
        <v>0</v>
      </c>
      <c r="F67" s="55">
        <f t="shared" si="4"/>
        <v>0</v>
      </c>
      <c r="G67" s="57">
        <f t="shared" si="5"/>
        <v>0</v>
      </c>
      <c r="H67" s="42">
        <f t="shared" si="6"/>
        <v>0</v>
      </c>
      <c r="I67" s="52">
        <f t="shared" si="7"/>
        <v>0</v>
      </c>
      <c r="J67" s="52"/>
      <c r="K67" s="115"/>
      <c r="L67" s="54">
        <f t="shared" si="8"/>
        <v>0</v>
      </c>
      <c r="M67" s="115"/>
      <c r="N67" s="54">
        <f t="shared" si="9"/>
        <v>0</v>
      </c>
      <c r="O67" s="54">
        <f t="shared" si="10"/>
        <v>0</v>
      </c>
      <c r="P67" s="1"/>
    </row>
    <row r="68" spans="2:16">
      <c r="B68" s="7" t="str">
        <f t="shared" si="11"/>
        <v/>
      </c>
      <c r="C68" s="50">
        <f>IF(D11="","-",+C67+1)</f>
        <v>2075</v>
      </c>
      <c r="D68" s="55">
        <f>IF(F67+SUM(E$17:E67)=D$10,F67,D$10-SUM(E$17:E67))</f>
        <v>0</v>
      </c>
      <c r="E68" s="56">
        <f t="shared" si="3"/>
        <v>0</v>
      </c>
      <c r="F68" s="55">
        <f t="shared" si="4"/>
        <v>0</v>
      </c>
      <c r="G68" s="57">
        <f t="shared" si="5"/>
        <v>0</v>
      </c>
      <c r="H68" s="42">
        <f t="shared" si="6"/>
        <v>0</v>
      </c>
      <c r="I68" s="52">
        <f t="shared" si="7"/>
        <v>0</v>
      </c>
      <c r="J68" s="52"/>
      <c r="K68" s="115"/>
      <c r="L68" s="54">
        <f t="shared" si="8"/>
        <v>0</v>
      </c>
      <c r="M68" s="115"/>
      <c r="N68" s="54">
        <f t="shared" si="9"/>
        <v>0</v>
      </c>
      <c r="O68" s="54">
        <f t="shared" si="10"/>
        <v>0</v>
      </c>
      <c r="P68" s="1"/>
    </row>
    <row r="69" spans="2:16">
      <c r="B69" s="7" t="str">
        <f t="shared" si="11"/>
        <v/>
      </c>
      <c r="C69" s="50">
        <f>IF(D11="","-",+C68+1)</f>
        <v>2076</v>
      </c>
      <c r="D69" s="55">
        <f>IF(F68+SUM(E$17:E68)=D$10,F68,D$10-SUM(E$17:E68))</f>
        <v>0</v>
      </c>
      <c r="E69" s="56">
        <f t="shared" si="3"/>
        <v>0</v>
      </c>
      <c r="F69" s="55">
        <f t="shared" si="4"/>
        <v>0</v>
      </c>
      <c r="G69" s="57">
        <f t="shared" si="5"/>
        <v>0</v>
      </c>
      <c r="H69" s="42">
        <f t="shared" si="6"/>
        <v>0</v>
      </c>
      <c r="I69" s="52">
        <f t="shared" si="7"/>
        <v>0</v>
      </c>
      <c r="J69" s="52"/>
      <c r="K69" s="115"/>
      <c r="L69" s="54">
        <f t="shared" si="8"/>
        <v>0</v>
      </c>
      <c r="M69" s="115"/>
      <c r="N69" s="54">
        <f t="shared" si="9"/>
        <v>0</v>
      </c>
      <c r="O69" s="54">
        <f t="shared" si="10"/>
        <v>0</v>
      </c>
      <c r="P69" s="1"/>
    </row>
    <row r="70" spans="2:16">
      <c r="B70" s="7" t="str">
        <f t="shared" si="11"/>
        <v/>
      </c>
      <c r="C70" s="50">
        <f>IF(D11="","-",+C69+1)</f>
        <v>2077</v>
      </c>
      <c r="D70" s="55">
        <f>IF(F69+SUM(E$17:E69)=D$10,F69,D$10-SUM(E$17:E69))</f>
        <v>0</v>
      </c>
      <c r="E70" s="56">
        <f t="shared" si="3"/>
        <v>0</v>
      </c>
      <c r="F70" s="55">
        <f t="shared" si="4"/>
        <v>0</v>
      </c>
      <c r="G70" s="57">
        <f t="shared" si="5"/>
        <v>0</v>
      </c>
      <c r="H70" s="42">
        <f t="shared" si="6"/>
        <v>0</v>
      </c>
      <c r="I70" s="52">
        <f t="shared" si="7"/>
        <v>0</v>
      </c>
      <c r="J70" s="52"/>
      <c r="K70" s="115"/>
      <c r="L70" s="54">
        <f t="shared" si="8"/>
        <v>0</v>
      </c>
      <c r="M70" s="115"/>
      <c r="N70" s="54">
        <f t="shared" si="9"/>
        <v>0</v>
      </c>
      <c r="O70" s="54">
        <f t="shared" si="10"/>
        <v>0</v>
      </c>
      <c r="P70" s="1"/>
    </row>
    <row r="71" spans="2:16">
      <c r="B71" s="7" t="str">
        <f t="shared" si="11"/>
        <v/>
      </c>
      <c r="C71" s="50">
        <f>IF(D11="","-",+C70+1)</f>
        <v>2078</v>
      </c>
      <c r="D71" s="55">
        <f>IF(F70+SUM(E$17:E70)=D$10,F70,D$10-SUM(E$17:E70))</f>
        <v>0</v>
      </c>
      <c r="E71" s="56">
        <f t="shared" si="3"/>
        <v>0</v>
      </c>
      <c r="F71" s="55">
        <f t="shared" si="4"/>
        <v>0</v>
      </c>
      <c r="G71" s="57">
        <f t="shared" si="5"/>
        <v>0</v>
      </c>
      <c r="H71" s="42">
        <f t="shared" si="6"/>
        <v>0</v>
      </c>
      <c r="I71" s="52">
        <f t="shared" si="7"/>
        <v>0</v>
      </c>
      <c r="J71" s="52"/>
      <c r="K71" s="115"/>
      <c r="L71" s="54">
        <f t="shared" si="8"/>
        <v>0</v>
      </c>
      <c r="M71" s="115"/>
      <c r="N71" s="54">
        <f t="shared" si="9"/>
        <v>0</v>
      </c>
      <c r="O71" s="54">
        <f t="shared" si="10"/>
        <v>0</v>
      </c>
      <c r="P71" s="1"/>
    </row>
    <row r="72" spans="2:16" ht="13.5" thickBot="1">
      <c r="B72" s="7" t="str">
        <f t="shared" si="11"/>
        <v/>
      </c>
      <c r="C72" s="58">
        <f>IF(D11="","-",+C71+1)</f>
        <v>2079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8"/>
        <v>0</v>
      </c>
      <c r="M72" s="116"/>
      <c r="N72" s="62">
        <f t="shared" si="9"/>
        <v>0</v>
      </c>
      <c r="O72" s="62">
        <f t="shared" si="10"/>
        <v>0</v>
      </c>
      <c r="P72" s="1"/>
    </row>
    <row r="73" spans="2:16">
      <c r="C73" s="12" t="s">
        <v>77</v>
      </c>
      <c r="D73" s="14"/>
      <c r="E73" s="14">
        <f>SUM(E17:E72)</f>
        <v>382759</v>
      </c>
      <c r="F73" s="14"/>
      <c r="G73" s="14">
        <f>SUM(G17:G72)</f>
        <v>404526.7162070311</v>
      </c>
      <c r="H73" s="14">
        <f>SUM(H17:H72)</f>
        <v>404526.7162070311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33 of 36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5.75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2025</v>
      </c>
      <c r="M86" s="102" t="s">
        <v>8</v>
      </c>
      <c r="N86" s="103" t="s">
        <v>153</v>
      </c>
      <c r="O86" s="104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404501.07612510771</v>
      </c>
      <c r="N87" s="66">
        <f>IF(J92&lt;D11,0,VLOOKUP(J92,C17:O72,11))</f>
        <v>404501.07612510771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32295.704334592941</v>
      </c>
      <c r="N88" s="68">
        <f>IF(J92&lt;D11,0,VLOOKUP(J92,C99:P154,7))</f>
        <v>32295.704334592941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Chisholm Substation 345 kV Terminal Upgrades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-372205.37179051479</v>
      </c>
      <c r="N89" s="71">
        <f>+N88-N87</f>
        <v>-372205.37179051479</v>
      </c>
      <c r="O89" s="72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TP2020266</v>
      </c>
      <c r="E91" s="74" t="str">
        <f>E9</f>
        <v xml:space="preserve">  SPP Project ID = 81717</v>
      </c>
      <c r="F91" s="74"/>
      <c r="G91" s="74"/>
      <c r="H91" s="74"/>
      <c r="I91" s="74"/>
      <c r="J91" s="74"/>
    </row>
    <row r="92" spans="1:16">
      <c r="C92" s="128" t="s">
        <v>226</v>
      </c>
      <c r="D92" s="85">
        <v>504259.99000000005</v>
      </c>
      <c r="E92" s="1" t="s">
        <v>94</v>
      </c>
      <c r="H92" s="2"/>
      <c r="I92" s="2"/>
      <c r="J92" s="36">
        <f>+'PSO.WS.G.BPU.ATRR.True-up'!M16</f>
        <v>2025</v>
      </c>
      <c r="K92" s="34"/>
      <c r="L92" s="14" t="s">
        <v>95</v>
      </c>
      <c r="P92" s="1"/>
    </row>
    <row r="93" spans="1:16">
      <c r="C93" s="37" t="s">
        <v>53</v>
      </c>
      <c r="D93" s="86">
        <v>2025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85">
        <v>10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14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13629</v>
      </c>
      <c r="K96" s="14"/>
      <c r="L96" s="14"/>
      <c r="M96" s="14"/>
      <c r="N96" s="14"/>
      <c r="O96" s="14"/>
      <c r="P96" s="1"/>
    </row>
    <row r="97" spans="1:16" ht="38.25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281</v>
      </c>
      <c r="I97" s="118" t="s">
        <v>282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>
      <c r="C99" s="50">
        <f>IF(D93= "","-",D93)</f>
        <v>2025</v>
      </c>
      <c r="D99" s="12">
        <v>0</v>
      </c>
      <c r="E99" s="57">
        <f>IF(OR(D11=I10,D92&lt;100000),0,J$96/12*(12-D94))</f>
        <v>2271.5</v>
      </c>
      <c r="F99" s="55">
        <f>IF(D93=C99,+D92-E99,+D99-E99)</f>
        <v>501988.49000000005</v>
      </c>
      <c r="G99" s="81">
        <f>+(F99+D99)/2</f>
        <v>250994.24500000002</v>
      </c>
      <c r="H99" s="81">
        <f>+J$94*G99+E99</f>
        <v>32295.704334592941</v>
      </c>
      <c r="I99" s="81">
        <f>+J$95*G99+E99</f>
        <v>32295.704334592941</v>
      </c>
      <c r="J99" s="54">
        <f>+I99-H99</f>
        <v>0</v>
      </c>
      <c r="K99" s="54"/>
      <c r="L99" s="117">
        <f>+H99</f>
        <v>32295.704334592941</v>
      </c>
      <c r="M99" s="469">
        <f t="shared" ref="M99" si="12">IF(L99&lt;&gt;0,+H99-L99,0)</f>
        <v>0</v>
      </c>
      <c r="N99" s="117">
        <f>+I99</f>
        <v>32295.704334592941</v>
      </c>
      <c r="O99" s="446">
        <f t="shared" ref="O99" si="13">IF(N99&lt;&gt;0,+I99-N99,0)</f>
        <v>0</v>
      </c>
      <c r="P99" s="54">
        <f t="shared" ref="P99" si="14">+O99-M99</f>
        <v>0</v>
      </c>
    </row>
    <row r="100" spans="1:16">
      <c r="B100" s="7" t="str">
        <f>IF(D100=F99,"","IU")</f>
        <v/>
      </c>
      <c r="C100" s="50">
        <f>IF(D93="","-",+C99+1)</f>
        <v>2026</v>
      </c>
      <c r="D100" s="12">
        <f>IF(F99+SUM(E$99:E99)=D$92,F99,D$92-SUM(E$99:E99))</f>
        <v>501988.49000000005</v>
      </c>
      <c r="E100" s="56">
        <f>IF(+J$96&lt;F99,J$96,D100)</f>
        <v>13629</v>
      </c>
      <c r="F100" s="55">
        <f>+D100-E100</f>
        <v>488359.49000000005</v>
      </c>
      <c r="G100" s="55">
        <f>+(F100+D100)/2</f>
        <v>495173.99000000005</v>
      </c>
      <c r="H100" s="113">
        <f t="shared" ref="H100:H154" si="15">+J$94*G100+E100</f>
        <v>72862.250774079235</v>
      </c>
      <c r="I100" s="122">
        <f t="shared" ref="I100:I154" si="16">+J$95*G100+E100</f>
        <v>72862.250774079235</v>
      </c>
      <c r="J100" s="54">
        <f t="shared" ref="J100:J130" si="17">+I100-H100</f>
        <v>0</v>
      </c>
      <c r="K100" s="54"/>
      <c r="L100" s="115"/>
      <c r="M100" s="54">
        <f t="shared" ref="M100:M130" si="18">IF(L100&lt;&gt;0,+H100-L100,0)</f>
        <v>0</v>
      </c>
      <c r="N100" s="115"/>
      <c r="O100" s="54">
        <f t="shared" ref="O100:O130" si="19">IF(N100&lt;&gt;0,+I100-N100,0)</f>
        <v>0</v>
      </c>
      <c r="P100" s="54">
        <f t="shared" ref="P100:P130" si="20">+O100-M100</f>
        <v>0</v>
      </c>
    </row>
    <row r="101" spans="1:16">
      <c r="B101" s="7" t="str">
        <f t="shared" ref="B101:B154" si="21">IF(D101=F100,"","IU")</f>
        <v/>
      </c>
      <c r="C101" s="50">
        <f>IF(D93="","-",+C100+1)</f>
        <v>2027</v>
      </c>
      <c r="D101" s="12">
        <f>IF(F100+SUM(E$99:E100)=D$92,F100,D$92-SUM(E$99:E100))</f>
        <v>488359.49000000005</v>
      </c>
      <c r="E101" s="56">
        <f t="shared" ref="E101:E154" si="22">IF(+J$96&lt;F100,J$96,D101)</f>
        <v>13629</v>
      </c>
      <c r="F101" s="55">
        <f t="shared" ref="F101:F154" si="23">+D101-E101</f>
        <v>474730.49000000005</v>
      </c>
      <c r="G101" s="55">
        <f t="shared" ref="G101:G154" si="24">+(F101+D101)/2</f>
        <v>481544.99000000005</v>
      </c>
      <c r="H101" s="113">
        <f t="shared" si="15"/>
        <v>71231.934983865925</v>
      </c>
      <c r="I101" s="122">
        <f t="shared" si="16"/>
        <v>71231.934983865925</v>
      </c>
      <c r="J101" s="54">
        <f t="shared" si="17"/>
        <v>0</v>
      </c>
      <c r="K101" s="54"/>
      <c r="L101" s="115"/>
      <c r="M101" s="54">
        <f t="shared" si="18"/>
        <v>0</v>
      </c>
      <c r="N101" s="115"/>
      <c r="O101" s="54">
        <f t="shared" si="19"/>
        <v>0</v>
      </c>
      <c r="P101" s="54">
        <f t="shared" si="20"/>
        <v>0</v>
      </c>
    </row>
    <row r="102" spans="1:16">
      <c r="B102" s="7" t="str">
        <f t="shared" si="21"/>
        <v/>
      </c>
      <c r="C102" s="50">
        <f>IF(D93="","-",+C101+1)</f>
        <v>2028</v>
      </c>
      <c r="D102" s="12">
        <f>IF(F101+SUM(E$99:E101)=D$92,F101,D$92-SUM(E$99:E101))</f>
        <v>474730.49000000005</v>
      </c>
      <c r="E102" s="56">
        <f t="shared" si="22"/>
        <v>13629</v>
      </c>
      <c r="F102" s="55">
        <f t="shared" si="23"/>
        <v>461101.49000000005</v>
      </c>
      <c r="G102" s="55">
        <f t="shared" si="24"/>
        <v>467915.99000000005</v>
      </c>
      <c r="H102" s="113">
        <f t="shared" si="15"/>
        <v>69601.619193652616</v>
      </c>
      <c r="I102" s="122">
        <f t="shared" si="16"/>
        <v>69601.619193652616</v>
      </c>
      <c r="J102" s="54">
        <f t="shared" si="17"/>
        <v>0</v>
      </c>
      <c r="K102" s="54"/>
      <c r="L102" s="115"/>
      <c r="M102" s="54">
        <f t="shared" si="18"/>
        <v>0</v>
      </c>
      <c r="N102" s="115"/>
      <c r="O102" s="54">
        <f t="shared" si="19"/>
        <v>0</v>
      </c>
      <c r="P102" s="54">
        <f t="shared" si="20"/>
        <v>0</v>
      </c>
    </row>
    <row r="103" spans="1:16">
      <c r="B103" s="7" t="str">
        <f t="shared" si="21"/>
        <v/>
      </c>
      <c r="C103" s="50">
        <f>IF(D93="","-",+C102+1)</f>
        <v>2029</v>
      </c>
      <c r="D103" s="12">
        <f>IF(F102+SUM(E$99:E102)=D$92,F102,D$92-SUM(E$99:E102))</f>
        <v>461101.49000000005</v>
      </c>
      <c r="E103" s="56">
        <f t="shared" si="22"/>
        <v>13629</v>
      </c>
      <c r="F103" s="55">
        <f t="shared" si="23"/>
        <v>447472.49000000005</v>
      </c>
      <c r="G103" s="55">
        <f t="shared" si="24"/>
        <v>454286.99000000005</v>
      </c>
      <c r="H103" s="113">
        <f t="shared" si="15"/>
        <v>67971.30340343932</v>
      </c>
      <c r="I103" s="122">
        <f t="shared" si="16"/>
        <v>67971.30340343932</v>
      </c>
      <c r="J103" s="54">
        <f t="shared" si="17"/>
        <v>0</v>
      </c>
      <c r="K103" s="54"/>
      <c r="L103" s="115"/>
      <c r="M103" s="54">
        <f t="shared" si="18"/>
        <v>0</v>
      </c>
      <c r="N103" s="115"/>
      <c r="O103" s="54">
        <f t="shared" si="19"/>
        <v>0</v>
      </c>
      <c r="P103" s="54">
        <f t="shared" si="20"/>
        <v>0</v>
      </c>
    </row>
    <row r="104" spans="1:16">
      <c r="B104" s="7" t="str">
        <f t="shared" si="21"/>
        <v/>
      </c>
      <c r="C104" s="50">
        <f>IF(D93="","-",+C103+1)</f>
        <v>2030</v>
      </c>
      <c r="D104" s="12">
        <f>IF(F103+SUM(E$99:E103)=D$92,F103,D$92-SUM(E$99:E103))</f>
        <v>447472.49000000005</v>
      </c>
      <c r="E104" s="56">
        <f t="shared" si="22"/>
        <v>13629</v>
      </c>
      <c r="F104" s="55">
        <f t="shared" si="23"/>
        <v>433843.49000000005</v>
      </c>
      <c r="G104" s="55">
        <f t="shared" si="24"/>
        <v>440657.99000000005</v>
      </c>
      <c r="H104" s="113">
        <f t="shared" si="15"/>
        <v>66340.987613225996</v>
      </c>
      <c r="I104" s="122">
        <f t="shared" si="16"/>
        <v>66340.987613225996</v>
      </c>
      <c r="J104" s="54">
        <f t="shared" si="17"/>
        <v>0</v>
      </c>
      <c r="K104" s="54"/>
      <c r="L104" s="115"/>
      <c r="M104" s="54">
        <f t="shared" si="18"/>
        <v>0</v>
      </c>
      <c r="N104" s="115"/>
      <c r="O104" s="54">
        <f t="shared" si="19"/>
        <v>0</v>
      </c>
      <c r="P104" s="54">
        <f t="shared" si="20"/>
        <v>0</v>
      </c>
    </row>
    <row r="105" spans="1:16">
      <c r="B105" s="7" t="str">
        <f t="shared" si="21"/>
        <v/>
      </c>
      <c r="C105" s="50">
        <f>IF(D93="","-",+C104+1)</f>
        <v>2031</v>
      </c>
      <c r="D105" s="12">
        <f>IF(F104+SUM(E$99:E104)=D$92,F104,D$92-SUM(E$99:E104))</f>
        <v>433843.49000000005</v>
      </c>
      <c r="E105" s="56">
        <f t="shared" si="22"/>
        <v>13629</v>
      </c>
      <c r="F105" s="55">
        <f t="shared" si="23"/>
        <v>420214.49000000005</v>
      </c>
      <c r="G105" s="55">
        <f t="shared" si="24"/>
        <v>427028.99000000005</v>
      </c>
      <c r="H105" s="113">
        <f t="shared" si="15"/>
        <v>64710.671823012701</v>
      </c>
      <c r="I105" s="122">
        <f t="shared" si="16"/>
        <v>64710.671823012701</v>
      </c>
      <c r="J105" s="54">
        <f t="shared" si="17"/>
        <v>0</v>
      </c>
      <c r="K105" s="54"/>
      <c r="L105" s="115"/>
      <c r="M105" s="54">
        <f t="shared" si="18"/>
        <v>0</v>
      </c>
      <c r="N105" s="115"/>
      <c r="O105" s="54">
        <f t="shared" si="19"/>
        <v>0</v>
      </c>
      <c r="P105" s="54">
        <f t="shared" si="20"/>
        <v>0</v>
      </c>
    </row>
    <row r="106" spans="1:16">
      <c r="B106" s="7" t="str">
        <f t="shared" si="21"/>
        <v/>
      </c>
      <c r="C106" s="50">
        <f>IF(D93="","-",+C105+1)</f>
        <v>2032</v>
      </c>
      <c r="D106" s="12">
        <f>IF(F105+SUM(E$99:E105)=D$92,F105,D$92-SUM(E$99:E105))</f>
        <v>420214.49000000005</v>
      </c>
      <c r="E106" s="56">
        <f t="shared" si="22"/>
        <v>13629</v>
      </c>
      <c r="F106" s="55">
        <f t="shared" si="23"/>
        <v>406585.49000000005</v>
      </c>
      <c r="G106" s="55">
        <f t="shared" si="24"/>
        <v>413399.99000000005</v>
      </c>
      <c r="H106" s="113">
        <f t="shared" si="15"/>
        <v>63080.356032799391</v>
      </c>
      <c r="I106" s="122">
        <f t="shared" si="16"/>
        <v>63080.356032799391</v>
      </c>
      <c r="J106" s="54">
        <f t="shared" si="17"/>
        <v>0</v>
      </c>
      <c r="K106" s="54"/>
      <c r="L106" s="115"/>
      <c r="M106" s="54">
        <f t="shared" si="18"/>
        <v>0</v>
      </c>
      <c r="N106" s="115"/>
      <c r="O106" s="54">
        <f t="shared" si="19"/>
        <v>0</v>
      </c>
      <c r="P106" s="54">
        <f t="shared" si="20"/>
        <v>0</v>
      </c>
    </row>
    <row r="107" spans="1:16">
      <c r="B107" s="7" t="str">
        <f t="shared" si="21"/>
        <v/>
      </c>
      <c r="C107" s="50">
        <f>IF(D93="","-",+C106+1)</f>
        <v>2033</v>
      </c>
      <c r="D107" s="12">
        <f>IF(F106+SUM(E$99:E106)=D$92,F106,D$92-SUM(E$99:E106))</f>
        <v>406585.49000000005</v>
      </c>
      <c r="E107" s="56">
        <f t="shared" si="22"/>
        <v>13629</v>
      </c>
      <c r="F107" s="55">
        <f t="shared" si="23"/>
        <v>392956.49000000005</v>
      </c>
      <c r="G107" s="55">
        <f t="shared" si="24"/>
        <v>399770.99000000005</v>
      </c>
      <c r="H107" s="113">
        <f t="shared" si="15"/>
        <v>61450.040242586088</v>
      </c>
      <c r="I107" s="122">
        <f t="shared" si="16"/>
        <v>61450.040242586088</v>
      </c>
      <c r="J107" s="54">
        <f t="shared" si="17"/>
        <v>0</v>
      </c>
      <c r="K107" s="54"/>
      <c r="L107" s="115"/>
      <c r="M107" s="54">
        <f t="shared" si="18"/>
        <v>0</v>
      </c>
      <c r="N107" s="115"/>
      <c r="O107" s="54">
        <f t="shared" si="19"/>
        <v>0</v>
      </c>
      <c r="P107" s="54">
        <f t="shared" si="20"/>
        <v>0</v>
      </c>
    </row>
    <row r="108" spans="1:16">
      <c r="B108" s="7" t="str">
        <f t="shared" si="21"/>
        <v/>
      </c>
      <c r="C108" s="50">
        <f>IF(D93="","-",+C107+1)</f>
        <v>2034</v>
      </c>
      <c r="D108" s="12">
        <f>IF(F107+SUM(E$99:E107)=D$92,F107,D$92-SUM(E$99:E107))</f>
        <v>392956.49000000005</v>
      </c>
      <c r="E108" s="56">
        <f t="shared" si="22"/>
        <v>13629</v>
      </c>
      <c r="F108" s="55">
        <f t="shared" si="23"/>
        <v>379327.49000000005</v>
      </c>
      <c r="G108" s="55">
        <f t="shared" si="24"/>
        <v>386141.99000000005</v>
      </c>
      <c r="H108" s="113">
        <f t="shared" si="15"/>
        <v>59819.724452372779</v>
      </c>
      <c r="I108" s="122">
        <f t="shared" si="16"/>
        <v>59819.724452372779</v>
      </c>
      <c r="J108" s="54">
        <f t="shared" si="17"/>
        <v>0</v>
      </c>
      <c r="K108" s="54"/>
      <c r="L108" s="115"/>
      <c r="M108" s="54">
        <f t="shared" si="18"/>
        <v>0</v>
      </c>
      <c r="N108" s="115"/>
      <c r="O108" s="54">
        <f t="shared" si="19"/>
        <v>0</v>
      </c>
      <c r="P108" s="54">
        <f t="shared" si="20"/>
        <v>0</v>
      </c>
    </row>
    <row r="109" spans="1:16">
      <c r="B109" s="7" t="str">
        <f t="shared" si="21"/>
        <v/>
      </c>
      <c r="C109" s="50">
        <f>IF(D93="","-",+C108+1)</f>
        <v>2035</v>
      </c>
      <c r="D109" s="12">
        <f>IF(F108+SUM(E$99:E108)=D$92,F108,D$92-SUM(E$99:E108))</f>
        <v>379327.49000000005</v>
      </c>
      <c r="E109" s="56">
        <f t="shared" si="22"/>
        <v>13629</v>
      </c>
      <c r="F109" s="55">
        <f t="shared" si="23"/>
        <v>365698.49000000005</v>
      </c>
      <c r="G109" s="55">
        <f t="shared" si="24"/>
        <v>372512.99000000005</v>
      </c>
      <c r="H109" s="113">
        <f t="shared" si="15"/>
        <v>58189.408662159476</v>
      </c>
      <c r="I109" s="122">
        <f t="shared" si="16"/>
        <v>58189.408662159476</v>
      </c>
      <c r="J109" s="54">
        <f t="shared" si="17"/>
        <v>0</v>
      </c>
      <c r="K109" s="54"/>
      <c r="L109" s="115"/>
      <c r="M109" s="54">
        <f t="shared" si="18"/>
        <v>0</v>
      </c>
      <c r="N109" s="115"/>
      <c r="O109" s="54">
        <f t="shared" si="19"/>
        <v>0</v>
      </c>
      <c r="P109" s="54">
        <f t="shared" si="20"/>
        <v>0</v>
      </c>
    </row>
    <row r="110" spans="1:16">
      <c r="B110" s="7" t="str">
        <f t="shared" si="21"/>
        <v/>
      </c>
      <c r="C110" s="50">
        <f>IF(D93="","-",+C109+1)</f>
        <v>2036</v>
      </c>
      <c r="D110" s="12">
        <f>IF(F109+SUM(E$99:E109)=D$92,F109,D$92-SUM(E$99:E109))</f>
        <v>365698.49000000005</v>
      </c>
      <c r="E110" s="56">
        <f t="shared" si="22"/>
        <v>13629</v>
      </c>
      <c r="F110" s="55">
        <f t="shared" si="23"/>
        <v>352069.49000000005</v>
      </c>
      <c r="G110" s="55">
        <f t="shared" si="24"/>
        <v>358883.99000000005</v>
      </c>
      <c r="H110" s="113">
        <f t="shared" si="15"/>
        <v>56559.092871946166</v>
      </c>
      <c r="I110" s="122">
        <f t="shared" si="16"/>
        <v>56559.092871946166</v>
      </c>
      <c r="J110" s="54">
        <f t="shared" si="17"/>
        <v>0</v>
      </c>
      <c r="K110" s="54"/>
      <c r="L110" s="115"/>
      <c r="M110" s="54">
        <f t="shared" si="18"/>
        <v>0</v>
      </c>
      <c r="N110" s="115"/>
      <c r="O110" s="54">
        <f t="shared" si="19"/>
        <v>0</v>
      </c>
      <c r="P110" s="54">
        <f t="shared" si="20"/>
        <v>0</v>
      </c>
    </row>
    <row r="111" spans="1:16">
      <c r="B111" s="7" t="str">
        <f t="shared" si="21"/>
        <v/>
      </c>
      <c r="C111" s="50">
        <f>IF(D93="","-",+C110+1)</f>
        <v>2037</v>
      </c>
      <c r="D111" s="12">
        <f>IF(F110+SUM(E$99:E110)=D$92,F110,D$92-SUM(E$99:E110))</f>
        <v>352069.49000000005</v>
      </c>
      <c r="E111" s="56">
        <f t="shared" si="22"/>
        <v>13629</v>
      </c>
      <c r="F111" s="55">
        <f t="shared" si="23"/>
        <v>338440.49000000005</v>
      </c>
      <c r="G111" s="55">
        <f t="shared" si="24"/>
        <v>345254.99000000005</v>
      </c>
      <c r="H111" s="113">
        <f t="shared" si="15"/>
        <v>54928.777081732864</v>
      </c>
      <c r="I111" s="122">
        <f t="shared" si="16"/>
        <v>54928.777081732864</v>
      </c>
      <c r="J111" s="54">
        <f t="shared" si="17"/>
        <v>0</v>
      </c>
      <c r="K111" s="54"/>
      <c r="L111" s="115"/>
      <c r="M111" s="54">
        <f t="shared" si="18"/>
        <v>0</v>
      </c>
      <c r="N111" s="115"/>
      <c r="O111" s="54">
        <f t="shared" si="19"/>
        <v>0</v>
      </c>
      <c r="P111" s="54">
        <f t="shared" si="20"/>
        <v>0</v>
      </c>
    </row>
    <row r="112" spans="1:16">
      <c r="B112" s="7" t="str">
        <f t="shared" si="21"/>
        <v/>
      </c>
      <c r="C112" s="50">
        <f>IF(D93="","-",+C111+1)</f>
        <v>2038</v>
      </c>
      <c r="D112" s="12">
        <f>IF(F111+SUM(E$99:E111)=D$92,F111,D$92-SUM(E$99:E111))</f>
        <v>338440.49000000005</v>
      </c>
      <c r="E112" s="56">
        <f t="shared" si="22"/>
        <v>13629</v>
      </c>
      <c r="F112" s="55">
        <f t="shared" si="23"/>
        <v>324811.49000000005</v>
      </c>
      <c r="G112" s="55">
        <f t="shared" si="24"/>
        <v>331625.99000000005</v>
      </c>
      <c r="H112" s="113">
        <f t="shared" si="15"/>
        <v>53298.461291519554</v>
      </c>
      <c r="I112" s="122">
        <f t="shared" si="16"/>
        <v>53298.461291519554</v>
      </c>
      <c r="J112" s="54">
        <f t="shared" si="17"/>
        <v>0</v>
      </c>
      <c r="K112" s="54"/>
      <c r="L112" s="115"/>
      <c r="M112" s="54">
        <f t="shared" si="18"/>
        <v>0</v>
      </c>
      <c r="N112" s="115"/>
      <c r="O112" s="54">
        <f t="shared" si="19"/>
        <v>0</v>
      </c>
      <c r="P112" s="54">
        <f t="shared" si="20"/>
        <v>0</v>
      </c>
    </row>
    <row r="113" spans="2:16">
      <c r="B113" s="7" t="str">
        <f t="shared" si="21"/>
        <v/>
      </c>
      <c r="C113" s="50">
        <f>IF(D93="","-",+C112+1)</f>
        <v>2039</v>
      </c>
      <c r="D113" s="12">
        <f>IF(F112+SUM(E$99:E112)=D$92,F112,D$92-SUM(E$99:E112))</f>
        <v>324811.49000000005</v>
      </c>
      <c r="E113" s="56">
        <f t="shared" si="22"/>
        <v>13629</v>
      </c>
      <c r="F113" s="55">
        <f t="shared" si="23"/>
        <v>311182.49000000005</v>
      </c>
      <c r="G113" s="55">
        <f t="shared" si="24"/>
        <v>317996.99000000005</v>
      </c>
      <c r="H113" s="113">
        <f t="shared" si="15"/>
        <v>51668.145501306251</v>
      </c>
      <c r="I113" s="122">
        <f t="shared" si="16"/>
        <v>51668.145501306251</v>
      </c>
      <c r="J113" s="54">
        <f t="shared" si="17"/>
        <v>0</v>
      </c>
      <c r="K113" s="54"/>
      <c r="L113" s="115"/>
      <c r="M113" s="54">
        <f t="shared" si="18"/>
        <v>0</v>
      </c>
      <c r="N113" s="115"/>
      <c r="O113" s="54">
        <f t="shared" si="19"/>
        <v>0</v>
      </c>
      <c r="P113" s="54">
        <f t="shared" si="20"/>
        <v>0</v>
      </c>
    </row>
    <row r="114" spans="2:16">
      <c r="B114" s="7" t="str">
        <f t="shared" si="21"/>
        <v/>
      </c>
      <c r="C114" s="50">
        <f>IF(D93="","-",+C113+1)</f>
        <v>2040</v>
      </c>
      <c r="D114" s="12">
        <f>IF(F113+SUM(E$99:E113)=D$92,F113,D$92-SUM(E$99:E113))</f>
        <v>311182.49000000005</v>
      </c>
      <c r="E114" s="56">
        <f t="shared" si="22"/>
        <v>13629</v>
      </c>
      <c r="F114" s="55">
        <f t="shared" si="23"/>
        <v>297553.49000000005</v>
      </c>
      <c r="G114" s="55">
        <f t="shared" si="24"/>
        <v>304367.99000000005</v>
      </c>
      <c r="H114" s="113">
        <f t="shared" si="15"/>
        <v>50037.829711092942</v>
      </c>
      <c r="I114" s="122">
        <f t="shared" si="16"/>
        <v>50037.829711092942</v>
      </c>
      <c r="J114" s="54">
        <f t="shared" si="17"/>
        <v>0</v>
      </c>
      <c r="K114" s="54"/>
      <c r="L114" s="115"/>
      <c r="M114" s="54">
        <f t="shared" si="18"/>
        <v>0</v>
      </c>
      <c r="N114" s="115"/>
      <c r="O114" s="54">
        <f t="shared" si="19"/>
        <v>0</v>
      </c>
      <c r="P114" s="54">
        <f t="shared" si="20"/>
        <v>0</v>
      </c>
    </row>
    <row r="115" spans="2:16">
      <c r="B115" s="7" t="str">
        <f t="shared" si="21"/>
        <v/>
      </c>
      <c r="C115" s="50">
        <f>IF(D93="","-",+C114+1)</f>
        <v>2041</v>
      </c>
      <c r="D115" s="12">
        <f>IF(F114+SUM(E$99:E114)=D$92,F114,D$92-SUM(E$99:E114))</f>
        <v>297553.49000000005</v>
      </c>
      <c r="E115" s="56">
        <f t="shared" si="22"/>
        <v>13629</v>
      </c>
      <c r="F115" s="55">
        <f t="shared" si="23"/>
        <v>283924.49000000005</v>
      </c>
      <c r="G115" s="55">
        <f t="shared" si="24"/>
        <v>290738.99000000005</v>
      </c>
      <c r="H115" s="113">
        <f t="shared" si="15"/>
        <v>48407.513920879639</v>
      </c>
      <c r="I115" s="122">
        <f t="shared" si="16"/>
        <v>48407.513920879639</v>
      </c>
      <c r="J115" s="54">
        <f t="shared" si="17"/>
        <v>0</v>
      </c>
      <c r="K115" s="54"/>
      <c r="L115" s="115"/>
      <c r="M115" s="54">
        <f t="shared" si="18"/>
        <v>0</v>
      </c>
      <c r="N115" s="115"/>
      <c r="O115" s="54">
        <f t="shared" si="19"/>
        <v>0</v>
      </c>
      <c r="P115" s="54">
        <f t="shared" si="20"/>
        <v>0</v>
      </c>
    </row>
    <row r="116" spans="2:16">
      <c r="B116" s="7" t="str">
        <f t="shared" si="21"/>
        <v/>
      </c>
      <c r="C116" s="50">
        <f>IF(D93="","-",+C115+1)</f>
        <v>2042</v>
      </c>
      <c r="D116" s="12">
        <f>IF(F115+SUM(E$99:E115)=D$92,F115,D$92-SUM(E$99:E115))</f>
        <v>283924.49000000005</v>
      </c>
      <c r="E116" s="56">
        <f t="shared" si="22"/>
        <v>13629</v>
      </c>
      <c r="F116" s="55">
        <f t="shared" si="23"/>
        <v>270295.49000000005</v>
      </c>
      <c r="G116" s="55">
        <f t="shared" si="24"/>
        <v>277109.99000000005</v>
      </c>
      <c r="H116" s="113">
        <f t="shared" si="15"/>
        <v>46777.198130666329</v>
      </c>
      <c r="I116" s="122">
        <f t="shared" si="16"/>
        <v>46777.198130666329</v>
      </c>
      <c r="J116" s="54">
        <f t="shared" si="17"/>
        <v>0</v>
      </c>
      <c r="K116" s="54"/>
      <c r="L116" s="115"/>
      <c r="M116" s="54">
        <f t="shared" si="18"/>
        <v>0</v>
      </c>
      <c r="N116" s="115"/>
      <c r="O116" s="54">
        <f t="shared" si="19"/>
        <v>0</v>
      </c>
      <c r="P116" s="54">
        <f t="shared" si="20"/>
        <v>0</v>
      </c>
    </row>
    <row r="117" spans="2:16">
      <c r="B117" s="7" t="str">
        <f t="shared" si="21"/>
        <v/>
      </c>
      <c r="C117" s="50">
        <f>IF(D93="","-",+C116+1)</f>
        <v>2043</v>
      </c>
      <c r="D117" s="12">
        <f>IF(F116+SUM(E$99:E116)=D$92,F116,D$92-SUM(E$99:E116))</f>
        <v>270295.49000000005</v>
      </c>
      <c r="E117" s="56">
        <f t="shared" si="22"/>
        <v>13629</v>
      </c>
      <c r="F117" s="55">
        <f t="shared" si="23"/>
        <v>256666.49000000005</v>
      </c>
      <c r="G117" s="55">
        <f t="shared" si="24"/>
        <v>263480.99000000005</v>
      </c>
      <c r="H117" s="113">
        <f t="shared" si="15"/>
        <v>45146.882340453027</v>
      </c>
      <c r="I117" s="122">
        <f t="shared" si="16"/>
        <v>45146.882340453027</v>
      </c>
      <c r="J117" s="54">
        <f t="shared" si="17"/>
        <v>0</v>
      </c>
      <c r="K117" s="54"/>
      <c r="L117" s="115"/>
      <c r="M117" s="54">
        <f t="shared" si="18"/>
        <v>0</v>
      </c>
      <c r="N117" s="115"/>
      <c r="O117" s="54">
        <f t="shared" si="19"/>
        <v>0</v>
      </c>
      <c r="P117" s="54">
        <f t="shared" si="20"/>
        <v>0</v>
      </c>
    </row>
    <row r="118" spans="2:16">
      <c r="B118" s="7" t="str">
        <f t="shared" si="21"/>
        <v/>
      </c>
      <c r="C118" s="50">
        <f>IF(D93="","-",+C117+1)</f>
        <v>2044</v>
      </c>
      <c r="D118" s="12">
        <f>IF(F117+SUM(E$99:E117)=D$92,F117,D$92-SUM(E$99:E117))</f>
        <v>256666.49000000005</v>
      </c>
      <c r="E118" s="56">
        <f t="shared" si="22"/>
        <v>13629</v>
      </c>
      <c r="F118" s="55">
        <f t="shared" si="23"/>
        <v>243037.49000000005</v>
      </c>
      <c r="G118" s="55">
        <f t="shared" si="24"/>
        <v>249851.99000000005</v>
      </c>
      <c r="H118" s="113">
        <f t="shared" si="15"/>
        <v>43516.566550239717</v>
      </c>
      <c r="I118" s="122">
        <f t="shared" si="16"/>
        <v>43516.566550239717</v>
      </c>
      <c r="J118" s="54">
        <f t="shared" si="17"/>
        <v>0</v>
      </c>
      <c r="K118" s="54"/>
      <c r="L118" s="115"/>
      <c r="M118" s="54">
        <f t="shared" si="18"/>
        <v>0</v>
      </c>
      <c r="N118" s="115"/>
      <c r="O118" s="54">
        <f t="shared" si="19"/>
        <v>0</v>
      </c>
      <c r="P118" s="54">
        <f t="shared" si="20"/>
        <v>0</v>
      </c>
    </row>
    <row r="119" spans="2:16">
      <c r="B119" s="7" t="str">
        <f t="shared" si="21"/>
        <v/>
      </c>
      <c r="C119" s="50">
        <f>IF(D93="","-",+C118+1)</f>
        <v>2045</v>
      </c>
      <c r="D119" s="12">
        <f>IF(F118+SUM(E$99:E118)=D$92,F118,D$92-SUM(E$99:E118))</f>
        <v>243037.49000000005</v>
      </c>
      <c r="E119" s="56">
        <f t="shared" si="22"/>
        <v>13629</v>
      </c>
      <c r="F119" s="55">
        <f t="shared" si="23"/>
        <v>229408.49000000005</v>
      </c>
      <c r="G119" s="55">
        <f t="shared" si="24"/>
        <v>236222.99000000005</v>
      </c>
      <c r="H119" s="113">
        <f t="shared" si="15"/>
        <v>41886.250760026414</v>
      </c>
      <c r="I119" s="122">
        <f t="shared" si="16"/>
        <v>41886.250760026414</v>
      </c>
      <c r="J119" s="54">
        <f t="shared" si="17"/>
        <v>0</v>
      </c>
      <c r="K119" s="54"/>
      <c r="L119" s="115"/>
      <c r="M119" s="54">
        <f t="shared" si="18"/>
        <v>0</v>
      </c>
      <c r="N119" s="115"/>
      <c r="O119" s="54">
        <f t="shared" si="19"/>
        <v>0</v>
      </c>
      <c r="P119" s="54">
        <f t="shared" si="20"/>
        <v>0</v>
      </c>
    </row>
    <row r="120" spans="2:16">
      <c r="B120" s="7" t="str">
        <f t="shared" si="21"/>
        <v/>
      </c>
      <c r="C120" s="50">
        <f>IF(D93="","-",+C119+1)</f>
        <v>2046</v>
      </c>
      <c r="D120" s="12">
        <f>IF(F119+SUM(E$99:E119)=D$92,F119,D$92-SUM(E$99:E119))</f>
        <v>229408.49000000005</v>
      </c>
      <c r="E120" s="56">
        <f t="shared" si="22"/>
        <v>13629</v>
      </c>
      <c r="F120" s="55">
        <f t="shared" si="23"/>
        <v>215779.49000000005</v>
      </c>
      <c r="G120" s="55">
        <f t="shared" si="24"/>
        <v>222593.99000000005</v>
      </c>
      <c r="H120" s="113">
        <f t="shared" si="15"/>
        <v>40255.934969813112</v>
      </c>
      <c r="I120" s="122">
        <f t="shared" si="16"/>
        <v>40255.934969813112</v>
      </c>
      <c r="J120" s="54">
        <f t="shared" si="17"/>
        <v>0</v>
      </c>
      <c r="K120" s="54"/>
      <c r="L120" s="115"/>
      <c r="M120" s="54">
        <f t="shared" si="18"/>
        <v>0</v>
      </c>
      <c r="N120" s="115"/>
      <c r="O120" s="54">
        <f t="shared" si="19"/>
        <v>0</v>
      </c>
      <c r="P120" s="54">
        <f t="shared" si="20"/>
        <v>0</v>
      </c>
    </row>
    <row r="121" spans="2:16">
      <c r="B121" s="7" t="str">
        <f t="shared" si="21"/>
        <v/>
      </c>
      <c r="C121" s="50">
        <f>IF(D93="","-",+C120+1)</f>
        <v>2047</v>
      </c>
      <c r="D121" s="12">
        <f>IF(F120+SUM(E$99:E120)=D$92,F120,D$92-SUM(E$99:E120))</f>
        <v>215779.49000000005</v>
      </c>
      <c r="E121" s="56">
        <f t="shared" si="22"/>
        <v>13629</v>
      </c>
      <c r="F121" s="55">
        <f t="shared" si="23"/>
        <v>202150.49000000005</v>
      </c>
      <c r="G121" s="55">
        <f t="shared" si="24"/>
        <v>208964.99000000005</v>
      </c>
      <c r="H121" s="113">
        <f t="shared" si="15"/>
        <v>38625.619179599802</v>
      </c>
      <c r="I121" s="122">
        <f t="shared" si="16"/>
        <v>38625.619179599802</v>
      </c>
      <c r="J121" s="54">
        <f t="shared" si="17"/>
        <v>0</v>
      </c>
      <c r="K121" s="54"/>
      <c r="L121" s="115"/>
      <c r="M121" s="54">
        <f t="shared" si="18"/>
        <v>0</v>
      </c>
      <c r="N121" s="115"/>
      <c r="O121" s="54">
        <f t="shared" si="19"/>
        <v>0</v>
      </c>
      <c r="P121" s="54">
        <f t="shared" si="20"/>
        <v>0</v>
      </c>
    </row>
    <row r="122" spans="2:16">
      <c r="B122" s="7" t="str">
        <f t="shared" si="21"/>
        <v/>
      </c>
      <c r="C122" s="50">
        <f>IF(D93="","-",+C121+1)</f>
        <v>2048</v>
      </c>
      <c r="D122" s="12">
        <f>IF(F121+SUM(E$99:E121)=D$92,F121,D$92-SUM(E$99:E121))</f>
        <v>202150.49000000005</v>
      </c>
      <c r="E122" s="56">
        <f t="shared" si="22"/>
        <v>13629</v>
      </c>
      <c r="F122" s="55">
        <f t="shared" si="23"/>
        <v>188521.49000000005</v>
      </c>
      <c r="G122" s="55">
        <f t="shared" si="24"/>
        <v>195335.99000000005</v>
      </c>
      <c r="H122" s="113">
        <f t="shared" si="15"/>
        <v>36995.303389386492</v>
      </c>
      <c r="I122" s="122">
        <f t="shared" si="16"/>
        <v>36995.303389386492</v>
      </c>
      <c r="J122" s="54">
        <f t="shared" si="17"/>
        <v>0</v>
      </c>
      <c r="K122" s="54"/>
      <c r="L122" s="115"/>
      <c r="M122" s="54">
        <f t="shared" si="18"/>
        <v>0</v>
      </c>
      <c r="N122" s="115"/>
      <c r="O122" s="54">
        <f t="shared" si="19"/>
        <v>0</v>
      </c>
      <c r="P122" s="54">
        <f t="shared" si="20"/>
        <v>0</v>
      </c>
    </row>
    <row r="123" spans="2:16">
      <c r="B123" s="7" t="str">
        <f t="shared" si="21"/>
        <v/>
      </c>
      <c r="C123" s="50">
        <f>IF(D93="","-",+C122+1)</f>
        <v>2049</v>
      </c>
      <c r="D123" s="12">
        <f>IF(F122+SUM(E$99:E122)=D$92,F122,D$92-SUM(E$99:E122))</f>
        <v>188521.49000000005</v>
      </c>
      <c r="E123" s="56">
        <f t="shared" si="22"/>
        <v>13629</v>
      </c>
      <c r="F123" s="55">
        <f t="shared" si="23"/>
        <v>174892.49000000005</v>
      </c>
      <c r="G123" s="55">
        <f t="shared" si="24"/>
        <v>181706.99000000005</v>
      </c>
      <c r="H123" s="113">
        <f t="shared" si="15"/>
        <v>35364.98759917319</v>
      </c>
      <c r="I123" s="122">
        <f t="shared" si="16"/>
        <v>35364.98759917319</v>
      </c>
      <c r="J123" s="54">
        <f t="shared" si="17"/>
        <v>0</v>
      </c>
      <c r="K123" s="54"/>
      <c r="L123" s="115"/>
      <c r="M123" s="54">
        <f t="shared" si="18"/>
        <v>0</v>
      </c>
      <c r="N123" s="115"/>
      <c r="O123" s="54">
        <f t="shared" si="19"/>
        <v>0</v>
      </c>
      <c r="P123" s="54">
        <f t="shared" si="20"/>
        <v>0</v>
      </c>
    </row>
    <row r="124" spans="2:16">
      <c r="B124" s="7" t="str">
        <f t="shared" si="21"/>
        <v/>
      </c>
      <c r="C124" s="50">
        <f>IF(D93="","-",+C123+1)</f>
        <v>2050</v>
      </c>
      <c r="D124" s="12">
        <f>IF(F123+SUM(E$99:E123)=D$92,F123,D$92-SUM(E$99:E123))</f>
        <v>174892.49000000005</v>
      </c>
      <c r="E124" s="56">
        <f t="shared" si="22"/>
        <v>13629</v>
      </c>
      <c r="F124" s="55">
        <f t="shared" si="23"/>
        <v>161263.49000000005</v>
      </c>
      <c r="G124" s="55">
        <f t="shared" si="24"/>
        <v>168077.99000000005</v>
      </c>
      <c r="H124" s="113">
        <f t="shared" si="15"/>
        <v>33734.671808959887</v>
      </c>
      <c r="I124" s="122">
        <f t="shared" si="16"/>
        <v>33734.671808959887</v>
      </c>
      <c r="J124" s="54">
        <f t="shared" si="17"/>
        <v>0</v>
      </c>
      <c r="K124" s="54"/>
      <c r="L124" s="115"/>
      <c r="M124" s="54">
        <f t="shared" si="18"/>
        <v>0</v>
      </c>
      <c r="N124" s="115"/>
      <c r="O124" s="54">
        <f t="shared" si="19"/>
        <v>0</v>
      </c>
      <c r="P124" s="54">
        <f t="shared" si="20"/>
        <v>0</v>
      </c>
    </row>
    <row r="125" spans="2:16">
      <c r="B125" s="7" t="str">
        <f t="shared" si="21"/>
        <v/>
      </c>
      <c r="C125" s="50">
        <f>IF(D93="","-",+C124+1)</f>
        <v>2051</v>
      </c>
      <c r="D125" s="12">
        <f>IF(F124+SUM(E$99:E124)=D$92,F124,D$92-SUM(E$99:E124))</f>
        <v>161263.49000000005</v>
      </c>
      <c r="E125" s="56">
        <f t="shared" si="22"/>
        <v>13629</v>
      </c>
      <c r="F125" s="55">
        <f t="shared" si="23"/>
        <v>147634.49000000005</v>
      </c>
      <c r="G125" s="55">
        <f t="shared" si="24"/>
        <v>154448.99000000005</v>
      </c>
      <c r="H125" s="113">
        <f t="shared" si="15"/>
        <v>32104.356018746577</v>
      </c>
      <c r="I125" s="122">
        <f t="shared" si="16"/>
        <v>32104.356018746577</v>
      </c>
      <c r="J125" s="54">
        <f t="shared" si="17"/>
        <v>0</v>
      </c>
      <c r="K125" s="54"/>
      <c r="L125" s="115"/>
      <c r="M125" s="54">
        <f t="shared" si="18"/>
        <v>0</v>
      </c>
      <c r="N125" s="115"/>
      <c r="O125" s="54">
        <f t="shared" si="19"/>
        <v>0</v>
      </c>
      <c r="P125" s="54">
        <f t="shared" si="20"/>
        <v>0</v>
      </c>
    </row>
    <row r="126" spans="2:16">
      <c r="B126" s="7" t="str">
        <f t="shared" si="21"/>
        <v/>
      </c>
      <c r="C126" s="50">
        <f>IF(D93="","-",+C125+1)</f>
        <v>2052</v>
      </c>
      <c r="D126" s="12">
        <f>IF(F125+SUM(E$99:E125)=D$92,F125,D$92-SUM(E$99:E125))</f>
        <v>147634.49000000005</v>
      </c>
      <c r="E126" s="56">
        <f t="shared" si="22"/>
        <v>13629</v>
      </c>
      <c r="F126" s="55">
        <f t="shared" si="23"/>
        <v>134005.49000000005</v>
      </c>
      <c r="G126" s="55">
        <f t="shared" si="24"/>
        <v>140819.99000000005</v>
      </c>
      <c r="H126" s="113">
        <f t="shared" si="15"/>
        <v>30474.040228533271</v>
      </c>
      <c r="I126" s="122">
        <f t="shared" si="16"/>
        <v>30474.040228533271</v>
      </c>
      <c r="J126" s="54">
        <f t="shared" si="17"/>
        <v>0</v>
      </c>
      <c r="K126" s="54"/>
      <c r="L126" s="115"/>
      <c r="M126" s="54">
        <f t="shared" si="18"/>
        <v>0</v>
      </c>
      <c r="N126" s="115"/>
      <c r="O126" s="54">
        <f t="shared" si="19"/>
        <v>0</v>
      </c>
      <c r="P126" s="54">
        <f t="shared" si="20"/>
        <v>0</v>
      </c>
    </row>
    <row r="127" spans="2:16">
      <c r="B127" s="7" t="str">
        <f t="shared" si="21"/>
        <v/>
      </c>
      <c r="C127" s="50">
        <f>IF(D93="","-",+C126+1)</f>
        <v>2053</v>
      </c>
      <c r="D127" s="12">
        <f>IF(F126+SUM(E$99:E126)=D$92,F126,D$92-SUM(E$99:E126))</f>
        <v>134005.49000000005</v>
      </c>
      <c r="E127" s="56">
        <f t="shared" si="22"/>
        <v>13629</v>
      </c>
      <c r="F127" s="55">
        <f t="shared" si="23"/>
        <v>120376.49000000005</v>
      </c>
      <c r="G127" s="55">
        <f t="shared" si="24"/>
        <v>127190.99000000005</v>
      </c>
      <c r="H127" s="113">
        <f t="shared" si="15"/>
        <v>28843.724438319965</v>
      </c>
      <c r="I127" s="122">
        <f t="shared" si="16"/>
        <v>28843.724438319965</v>
      </c>
      <c r="J127" s="54">
        <f t="shared" si="17"/>
        <v>0</v>
      </c>
      <c r="K127" s="54"/>
      <c r="L127" s="115"/>
      <c r="M127" s="54">
        <f t="shared" si="18"/>
        <v>0</v>
      </c>
      <c r="N127" s="115"/>
      <c r="O127" s="54">
        <f t="shared" si="19"/>
        <v>0</v>
      </c>
      <c r="P127" s="54">
        <f t="shared" si="20"/>
        <v>0</v>
      </c>
    </row>
    <row r="128" spans="2:16">
      <c r="B128" s="7" t="str">
        <f t="shared" si="21"/>
        <v/>
      </c>
      <c r="C128" s="50">
        <f>IF(D93="","-",+C127+1)</f>
        <v>2054</v>
      </c>
      <c r="D128" s="12">
        <f>IF(F127+SUM(E$99:E127)=D$92,F127,D$92-SUM(E$99:E127))</f>
        <v>120376.49000000005</v>
      </c>
      <c r="E128" s="56">
        <f t="shared" si="22"/>
        <v>13629</v>
      </c>
      <c r="F128" s="55">
        <f t="shared" si="23"/>
        <v>106747.49000000005</v>
      </c>
      <c r="G128" s="55">
        <f t="shared" si="24"/>
        <v>113561.99000000005</v>
      </c>
      <c r="H128" s="113">
        <f t="shared" si="15"/>
        <v>27213.408648106659</v>
      </c>
      <c r="I128" s="122">
        <f t="shared" si="16"/>
        <v>27213.408648106659</v>
      </c>
      <c r="J128" s="54">
        <f t="shared" si="17"/>
        <v>0</v>
      </c>
      <c r="K128" s="54"/>
      <c r="L128" s="115"/>
      <c r="M128" s="54">
        <f t="shared" si="18"/>
        <v>0</v>
      </c>
      <c r="N128" s="115"/>
      <c r="O128" s="54">
        <f t="shared" si="19"/>
        <v>0</v>
      </c>
      <c r="P128" s="54">
        <f t="shared" si="20"/>
        <v>0</v>
      </c>
    </row>
    <row r="129" spans="2:16">
      <c r="B129" s="7" t="str">
        <f t="shared" si="21"/>
        <v/>
      </c>
      <c r="C129" s="50">
        <f>IF(D93="","-",+C128+1)</f>
        <v>2055</v>
      </c>
      <c r="D129" s="12">
        <f>IF(F128+SUM(E$99:E128)=D$92,F128,D$92-SUM(E$99:E128))</f>
        <v>106747.49000000005</v>
      </c>
      <c r="E129" s="56">
        <f t="shared" si="22"/>
        <v>13629</v>
      </c>
      <c r="F129" s="55">
        <f t="shared" si="23"/>
        <v>93118.490000000049</v>
      </c>
      <c r="G129" s="55">
        <f t="shared" si="24"/>
        <v>99932.990000000049</v>
      </c>
      <c r="H129" s="113">
        <f t="shared" si="15"/>
        <v>25583.092857893353</v>
      </c>
      <c r="I129" s="122">
        <f t="shared" si="16"/>
        <v>25583.092857893353</v>
      </c>
      <c r="J129" s="54">
        <f t="shared" si="17"/>
        <v>0</v>
      </c>
      <c r="K129" s="54"/>
      <c r="L129" s="115"/>
      <c r="M129" s="54">
        <f t="shared" si="18"/>
        <v>0</v>
      </c>
      <c r="N129" s="115"/>
      <c r="O129" s="54">
        <f t="shared" si="19"/>
        <v>0</v>
      </c>
      <c r="P129" s="54">
        <f t="shared" si="20"/>
        <v>0</v>
      </c>
    </row>
    <row r="130" spans="2:16">
      <c r="B130" s="7" t="str">
        <f t="shared" si="21"/>
        <v/>
      </c>
      <c r="C130" s="50">
        <f>IF(D93="","-",+C129+1)</f>
        <v>2056</v>
      </c>
      <c r="D130" s="12">
        <f>IF(F129+SUM(E$99:E129)=D$92,F129,D$92-SUM(E$99:E129))</f>
        <v>93118.490000000049</v>
      </c>
      <c r="E130" s="56">
        <f t="shared" si="22"/>
        <v>13629</v>
      </c>
      <c r="F130" s="55">
        <f t="shared" si="23"/>
        <v>79489.490000000049</v>
      </c>
      <c r="G130" s="55">
        <f t="shared" si="24"/>
        <v>86303.990000000049</v>
      </c>
      <c r="H130" s="113">
        <f t="shared" si="15"/>
        <v>23952.777067680046</v>
      </c>
      <c r="I130" s="122">
        <f t="shared" si="16"/>
        <v>23952.777067680046</v>
      </c>
      <c r="J130" s="54">
        <f t="shared" si="17"/>
        <v>0</v>
      </c>
      <c r="K130" s="54"/>
      <c r="L130" s="115"/>
      <c r="M130" s="54">
        <f t="shared" si="18"/>
        <v>0</v>
      </c>
      <c r="N130" s="115"/>
      <c r="O130" s="54">
        <f t="shared" si="19"/>
        <v>0</v>
      </c>
      <c r="P130" s="54">
        <f t="shared" si="20"/>
        <v>0</v>
      </c>
    </row>
    <row r="131" spans="2:16">
      <c r="B131" s="7" t="str">
        <f t="shared" si="21"/>
        <v/>
      </c>
      <c r="C131" s="50">
        <f>IF(D93="","-",+C130+1)</f>
        <v>2057</v>
      </c>
      <c r="D131" s="12">
        <f>IF(F130+SUM(E$99:E130)=D$92,F130,D$92-SUM(E$99:E130))</f>
        <v>79489.490000000049</v>
      </c>
      <c r="E131" s="56">
        <f t="shared" si="22"/>
        <v>13629</v>
      </c>
      <c r="F131" s="55">
        <f t="shared" si="23"/>
        <v>65860.490000000049</v>
      </c>
      <c r="G131" s="55">
        <f t="shared" si="24"/>
        <v>72674.990000000049</v>
      </c>
      <c r="H131" s="113">
        <f t="shared" si="15"/>
        <v>22322.46127746674</v>
      </c>
      <c r="I131" s="122">
        <f t="shared" si="16"/>
        <v>22322.46127746674</v>
      </c>
      <c r="J131" s="54">
        <f t="shared" ref="J131:J154" si="25">+I541-H541</f>
        <v>0</v>
      </c>
      <c r="K131" s="54"/>
      <c r="L131" s="115"/>
      <c r="M131" s="54">
        <f t="shared" ref="M131:M154" si="26">IF(L541&lt;&gt;0,+H541-L541,0)</f>
        <v>0</v>
      </c>
      <c r="N131" s="115"/>
      <c r="O131" s="54">
        <f t="shared" ref="O131:O154" si="27">IF(N541&lt;&gt;0,+I541-N541,0)</f>
        <v>0</v>
      </c>
      <c r="P131" s="54">
        <f t="shared" ref="P131:P154" si="28">+O541-M541</f>
        <v>0</v>
      </c>
    </row>
    <row r="132" spans="2:16">
      <c r="B132" s="7" t="str">
        <f t="shared" si="21"/>
        <v/>
      </c>
      <c r="C132" s="50">
        <f>IF(D93="","-",+C131+1)</f>
        <v>2058</v>
      </c>
      <c r="D132" s="12">
        <f>IF(F131+SUM(E$99:E131)=D$92,F131,D$92-SUM(E$99:E131))</f>
        <v>65860.490000000049</v>
      </c>
      <c r="E132" s="56">
        <f t="shared" si="22"/>
        <v>13629</v>
      </c>
      <c r="F132" s="55">
        <f t="shared" si="23"/>
        <v>52231.490000000049</v>
      </c>
      <c r="G132" s="55">
        <f t="shared" si="24"/>
        <v>59045.990000000049</v>
      </c>
      <c r="H132" s="113">
        <f t="shared" si="15"/>
        <v>20692.145487253434</v>
      </c>
      <c r="I132" s="122">
        <f t="shared" si="16"/>
        <v>20692.145487253434</v>
      </c>
      <c r="J132" s="54">
        <f t="shared" si="25"/>
        <v>0</v>
      </c>
      <c r="K132" s="54"/>
      <c r="L132" s="115"/>
      <c r="M132" s="54">
        <f t="shared" si="26"/>
        <v>0</v>
      </c>
      <c r="N132" s="115"/>
      <c r="O132" s="54">
        <f t="shared" si="27"/>
        <v>0</v>
      </c>
      <c r="P132" s="54">
        <f t="shared" si="28"/>
        <v>0</v>
      </c>
    </row>
    <row r="133" spans="2:16">
      <c r="B133" s="7" t="str">
        <f t="shared" si="21"/>
        <v/>
      </c>
      <c r="C133" s="50">
        <f>IF(D93="","-",+C132+1)</f>
        <v>2059</v>
      </c>
      <c r="D133" s="12">
        <f>IF(F132+SUM(E$99:E132)=D$92,F132,D$92-SUM(E$99:E132))</f>
        <v>52231.490000000049</v>
      </c>
      <c r="E133" s="56">
        <f t="shared" si="22"/>
        <v>13629</v>
      </c>
      <c r="F133" s="55">
        <f t="shared" si="23"/>
        <v>38602.490000000049</v>
      </c>
      <c r="G133" s="55">
        <f t="shared" si="24"/>
        <v>45416.990000000049</v>
      </c>
      <c r="H133" s="113">
        <f t="shared" si="15"/>
        <v>19061.829697040128</v>
      </c>
      <c r="I133" s="122">
        <f t="shared" si="16"/>
        <v>19061.829697040128</v>
      </c>
      <c r="J133" s="54">
        <f t="shared" si="25"/>
        <v>0</v>
      </c>
      <c r="K133" s="54"/>
      <c r="L133" s="115"/>
      <c r="M133" s="54">
        <f t="shared" si="26"/>
        <v>0</v>
      </c>
      <c r="N133" s="115"/>
      <c r="O133" s="54">
        <f t="shared" si="27"/>
        <v>0</v>
      </c>
      <c r="P133" s="54">
        <f t="shared" si="28"/>
        <v>0</v>
      </c>
    </row>
    <row r="134" spans="2:16">
      <c r="B134" s="7" t="str">
        <f t="shared" si="21"/>
        <v/>
      </c>
      <c r="C134" s="50">
        <f>IF(D93="","-",+C133+1)</f>
        <v>2060</v>
      </c>
      <c r="D134" s="12">
        <f>IF(F133+SUM(E$99:E133)=D$92,F133,D$92-SUM(E$99:E133))</f>
        <v>38602.490000000049</v>
      </c>
      <c r="E134" s="56">
        <f t="shared" si="22"/>
        <v>13629</v>
      </c>
      <c r="F134" s="55">
        <f t="shared" si="23"/>
        <v>24973.490000000049</v>
      </c>
      <c r="G134" s="55">
        <f t="shared" si="24"/>
        <v>31787.990000000049</v>
      </c>
      <c r="H134" s="113">
        <f t="shared" si="15"/>
        <v>17431.513906826822</v>
      </c>
      <c r="I134" s="122">
        <f t="shared" si="16"/>
        <v>17431.513906826822</v>
      </c>
      <c r="J134" s="54">
        <f t="shared" si="25"/>
        <v>0</v>
      </c>
      <c r="K134" s="54"/>
      <c r="L134" s="115"/>
      <c r="M134" s="54">
        <f t="shared" si="26"/>
        <v>0</v>
      </c>
      <c r="N134" s="115"/>
      <c r="O134" s="54">
        <f t="shared" si="27"/>
        <v>0</v>
      </c>
      <c r="P134" s="54">
        <f t="shared" si="28"/>
        <v>0</v>
      </c>
    </row>
    <row r="135" spans="2:16">
      <c r="B135" s="7" t="str">
        <f t="shared" si="21"/>
        <v/>
      </c>
      <c r="C135" s="50">
        <f>IF(D93="","-",+C134+1)</f>
        <v>2061</v>
      </c>
      <c r="D135" s="12">
        <f>IF(F134+SUM(E$99:E134)=D$92,F134,D$92-SUM(E$99:E134))</f>
        <v>24973.490000000049</v>
      </c>
      <c r="E135" s="56">
        <f t="shared" si="22"/>
        <v>13629</v>
      </c>
      <c r="F135" s="55">
        <f t="shared" si="23"/>
        <v>11344.490000000049</v>
      </c>
      <c r="G135" s="55">
        <f t="shared" si="24"/>
        <v>18158.990000000049</v>
      </c>
      <c r="H135" s="113">
        <f t="shared" si="15"/>
        <v>15801.198116613516</v>
      </c>
      <c r="I135" s="122">
        <f t="shared" si="16"/>
        <v>15801.198116613516</v>
      </c>
      <c r="J135" s="54">
        <f t="shared" si="25"/>
        <v>0</v>
      </c>
      <c r="K135" s="54"/>
      <c r="L135" s="115"/>
      <c r="M135" s="54">
        <f t="shared" si="26"/>
        <v>0</v>
      </c>
      <c r="N135" s="115"/>
      <c r="O135" s="54">
        <f t="shared" si="27"/>
        <v>0</v>
      </c>
      <c r="P135" s="54">
        <f t="shared" si="28"/>
        <v>0</v>
      </c>
    </row>
    <row r="136" spans="2:16">
      <c r="B136" s="7" t="str">
        <f t="shared" si="21"/>
        <v/>
      </c>
      <c r="C136" s="50">
        <f>IF(D93="","-",+C135+1)</f>
        <v>2062</v>
      </c>
      <c r="D136" s="12">
        <f>IF(F135+SUM(E$99:E135)=D$92,F135,D$92-SUM(E$99:E135))</f>
        <v>11344.490000000049</v>
      </c>
      <c r="E136" s="56">
        <f t="shared" si="22"/>
        <v>11344.490000000049</v>
      </c>
      <c r="F136" s="55">
        <f t="shared" si="23"/>
        <v>0</v>
      </c>
      <c r="G136" s="55">
        <f t="shared" si="24"/>
        <v>5672.2450000000244</v>
      </c>
      <c r="H136" s="113">
        <f t="shared" si="15"/>
        <v>12023.010110753479</v>
      </c>
      <c r="I136" s="122">
        <f t="shared" si="16"/>
        <v>12023.010110753479</v>
      </c>
      <c r="J136" s="54">
        <f t="shared" si="25"/>
        <v>0</v>
      </c>
      <c r="K136" s="54"/>
      <c r="L136" s="115"/>
      <c r="M136" s="54">
        <f t="shared" si="26"/>
        <v>0</v>
      </c>
      <c r="N136" s="115"/>
      <c r="O136" s="54">
        <f t="shared" si="27"/>
        <v>0</v>
      </c>
      <c r="P136" s="54">
        <f t="shared" si="28"/>
        <v>0</v>
      </c>
    </row>
    <row r="137" spans="2:16">
      <c r="B137" s="7" t="str">
        <f t="shared" si="21"/>
        <v/>
      </c>
      <c r="C137" s="50">
        <f>IF(D93="","-",+C136+1)</f>
        <v>2063</v>
      </c>
      <c r="D137" s="12">
        <f>IF(F136+SUM(E$99:E136)=D$92,F136,D$92-SUM(E$99:E136))</f>
        <v>0</v>
      </c>
      <c r="E137" s="56">
        <f t="shared" si="22"/>
        <v>0</v>
      </c>
      <c r="F137" s="55">
        <f t="shared" si="23"/>
        <v>0</v>
      </c>
      <c r="G137" s="55">
        <f t="shared" si="24"/>
        <v>0</v>
      </c>
      <c r="H137" s="113">
        <f t="shared" si="15"/>
        <v>0</v>
      </c>
      <c r="I137" s="122">
        <f t="shared" si="16"/>
        <v>0</v>
      </c>
      <c r="J137" s="54">
        <f t="shared" si="25"/>
        <v>0</v>
      </c>
      <c r="K137" s="54"/>
      <c r="L137" s="115"/>
      <c r="M137" s="54">
        <f t="shared" si="26"/>
        <v>0</v>
      </c>
      <c r="N137" s="115"/>
      <c r="O137" s="54">
        <f t="shared" si="27"/>
        <v>0</v>
      </c>
      <c r="P137" s="54">
        <f t="shared" si="28"/>
        <v>0</v>
      </c>
    </row>
    <row r="138" spans="2:16">
      <c r="B138" s="7" t="str">
        <f t="shared" si="21"/>
        <v/>
      </c>
      <c r="C138" s="50">
        <f>IF(D93="","-",+C137+1)</f>
        <v>2064</v>
      </c>
      <c r="D138" s="12">
        <f>IF(F137+SUM(E$99:E137)=D$92,F137,D$92-SUM(E$99:E137))</f>
        <v>0</v>
      </c>
      <c r="E138" s="56">
        <f t="shared" si="22"/>
        <v>0</v>
      </c>
      <c r="F138" s="55">
        <f t="shared" si="23"/>
        <v>0</v>
      </c>
      <c r="G138" s="55">
        <f t="shared" si="24"/>
        <v>0</v>
      </c>
      <c r="H138" s="113">
        <f t="shared" si="15"/>
        <v>0</v>
      </c>
      <c r="I138" s="122">
        <f t="shared" si="16"/>
        <v>0</v>
      </c>
      <c r="J138" s="54">
        <f t="shared" si="25"/>
        <v>0</v>
      </c>
      <c r="K138" s="54"/>
      <c r="L138" s="115"/>
      <c r="M138" s="54">
        <f t="shared" si="26"/>
        <v>0</v>
      </c>
      <c r="N138" s="115"/>
      <c r="O138" s="54">
        <f t="shared" si="27"/>
        <v>0</v>
      </c>
      <c r="P138" s="54">
        <f t="shared" si="28"/>
        <v>0</v>
      </c>
    </row>
    <row r="139" spans="2:16">
      <c r="B139" s="7" t="str">
        <f t="shared" si="21"/>
        <v/>
      </c>
      <c r="C139" s="50">
        <f>IF(D93="","-",+C138+1)</f>
        <v>2065</v>
      </c>
      <c r="D139" s="12">
        <f>IF(F138+SUM(E$99:E138)=D$92,F138,D$92-SUM(E$99:E138))</f>
        <v>0</v>
      </c>
      <c r="E139" s="56">
        <f t="shared" si="22"/>
        <v>0</v>
      </c>
      <c r="F139" s="55">
        <f t="shared" si="23"/>
        <v>0</v>
      </c>
      <c r="G139" s="55">
        <f t="shared" si="24"/>
        <v>0</v>
      </c>
      <c r="H139" s="113">
        <f t="shared" si="15"/>
        <v>0</v>
      </c>
      <c r="I139" s="122">
        <f t="shared" si="16"/>
        <v>0</v>
      </c>
      <c r="J139" s="54">
        <f t="shared" si="25"/>
        <v>0</v>
      </c>
      <c r="K139" s="54"/>
      <c r="L139" s="115"/>
      <c r="M139" s="54">
        <f t="shared" si="26"/>
        <v>0</v>
      </c>
      <c r="N139" s="115"/>
      <c r="O139" s="54">
        <f t="shared" si="27"/>
        <v>0</v>
      </c>
      <c r="P139" s="54">
        <f t="shared" si="28"/>
        <v>0</v>
      </c>
    </row>
    <row r="140" spans="2:16">
      <c r="B140" s="7" t="str">
        <f t="shared" si="21"/>
        <v/>
      </c>
      <c r="C140" s="50">
        <f>IF(D93="","-",+C139+1)</f>
        <v>2066</v>
      </c>
      <c r="D140" s="12">
        <f>IF(F139+SUM(E$99:E139)=D$92,F139,D$92-SUM(E$99:E139))</f>
        <v>0</v>
      </c>
      <c r="E140" s="56">
        <f t="shared" si="22"/>
        <v>0</v>
      </c>
      <c r="F140" s="55">
        <f t="shared" si="23"/>
        <v>0</v>
      </c>
      <c r="G140" s="55">
        <f t="shared" si="24"/>
        <v>0</v>
      </c>
      <c r="H140" s="113">
        <f t="shared" si="15"/>
        <v>0</v>
      </c>
      <c r="I140" s="122">
        <f t="shared" si="16"/>
        <v>0</v>
      </c>
      <c r="J140" s="54">
        <f t="shared" si="25"/>
        <v>0</v>
      </c>
      <c r="K140" s="54"/>
      <c r="L140" s="115"/>
      <c r="M140" s="54">
        <f t="shared" si="26"/>
        <v>0</v>
      </c>
      <c r="N140" s="115"/>
      <c r="O140" s="54">
        <f t="shared" si="27"/>
        <v>0</v>
      </c>
      <c r="P140" s="54">
        <f t="shared" si="28"/>
        <v>0</v>
      </c>
    </row>
    <row r="141" spans="2:16">
      <c r="B141" s="7" t="str">
        <f t="shared" si="21"/>
        <v/>
      </c>
      <c r="C141" s="50">
        <f>IF(D93="","-",+C140+1)</f>
        <v>2067</v>
      </c>
      <c r="D141" s="12">
        <f>IF(F140+SUM(E$99:E140)=D$92,F140,D$92-SUM(E$99:E140))</f>
        <v>0</v>
      </c>
      <c r="E141" s="56">
        <f t="shared" si="22"/>
        <v>0</v>
      </c>
      <c r="F141" s="55">
        <f t="shared" si="23"/>
        <v>0</v>
      </c>
      <c r="G141" s="55">
        <f t="shared" si="24"/>
        <v>0</v>
      </c>
      <c r="H141" s="113">
        <f t="shared" si="15"/>
        <v>0</v>
      </c>
      <c r="I141" s="122">
        <f t="shared" si="16"/>
        <v>0</v>
      </c>
      <c r="J141" s="54">
        <f t="shared" si="25"/>
        <v>0</v>
      </c>
      <c r="K141" s="54"/>
      <c r="L141" s="115"/>
      <c r="M141" s="54">
        <f t="shared" si="26"/>
        <v>0</v>
      </c>
      <c r="N141" s="115"/>
      <c r="O141" s="54">
        <f t="shared" si="27"/>
        <v>0</v>
      </c>
      <c r="P141" s="54">
        <f t="shared" si="28"/>
        <v>0</v>
      </c>
    </row>
    <row r="142" spans="2:16">
      <c r="B142" s="7" t="str">
        <f t="shared" si="21"/>
        <v/>
      </c>
      <c r="C142" s="50">
        <f>IF(D93="","-",+C141+1)</f>
        <v>2068</v>
      </c>
      <c r="D142" s="12">
        <f>IF(F141+SUM(E$99:E141)=D$92,F141,D$92-SUM(E$99:E141))</f>
        <v>0</v>
      </c>
      <c r="E142" s="56">
        <f t="shared" si="22"/>
        <v>0</v>
      </c>
      <c r="F142" s="55">
        <f t="shared" si="23"/>
        <v>0</v>
      </c>
      <c r="G142" s="55">
        <f t="shared" si="24"/>
        <v>0</v>
      </c>
      <c r="H142" s="113">
        <f t="shared" si="15"/>
        <v>0</v>
      </c>
      <c r="I142" s="122">
        <f t="shared" si="16"/>
        <v>0</v>
      </c>
      <c r="J142" s="54">
        <f t="shared" si="25"/>
        <v>0</v>
      </c>
      <c r="K142" s="54"/>
      <c r="L142" s="115"/>
      <c r="M142" s="54">
        <f t="shared" si="26"/>
        <v>0</v>
      </c>
      <c r="N142" s="115"/>
      <c r="O142" s="54">
        <f t="shared" si="27"/>
        <v>0</v>
      </c>
      <c r="P142" s="54">
        <f t="shared" si="28"/>
        <v>0</v>
      </c>
    </row>
    <row r="143" spans="2:16">
      <c r="B143" s="7" t="str">
        <f t="shared" si="21"/>
        <v/>
      </c>
      <c r="C143" s="50">
        <f>IF(D93="","-",+C142+1)</f>
        <v>2069</v>
      </c>
      <c r="D143" s="12">
        <f>IF(F142+SUM(E$99:E142)=D$92,F142,D$92-SUM(E$99:E142))</f>
        <v>0</v>
      </c>
      <c r="E143" s="56">
        <f t="shared" si="22"/>
        <v>0</v>
      </c>
      <c r="F143" s="55">
        <f t="shared" si="23"/>
        <v>0</v>
      </c>
      <c r="G143" s="55">
        <f t="shared" si="24"/>
        <v>0</v>
      </c>
      <c r="H143" s="113">
        <f t="shared" si="15"/>
        <v>0</v>
      </c>
      <c r="I143" s="122">
        <f t="shared" si="16"/>
        <v>0</v>
      </c>
      <c r="J143" s="54">
        <f t="shared" si="25"/>
        <v>0</v>
      </c>
      <c r="K143" s="54"/>
      <c r="L143" s="115"/>
      <c r="M143" s="54">
        <f t="shared" si="26"/>
        <v>0</v>
      </c>
      <c r="N143" s="115"/>
      <c r="O143" s="54">
        <f t="shared" si="27"/>
        <v>0</v>
      </c>
      <c r="P143" s="54">
        <f t="shared" si="28"/>
        <v>0</v>
      </c>
    </row>
    <row r="144" spans="2:16">
      <c r="B144" s="7" t="str">
        <f t="shared" si="21"/>
        <v/>
      </c>
      <c r="C144" s="50">
        <f>IF(D93="","-",+C143+1)</f>
        <v>2070</v>
      </c>
      <c r="D144" s="12">
        <f>IF(F143+SUM(E$99:E143)=D$92,F143,D$92-SUM(E$99:E143))</f>
        <v>0</v>
      </c>
      <c r="E144" s="56">
        <f t="shared" si="22"/>
        <v>0</v>
      </c>
      <c r="F144" s="55">
        <f t="shared" si="23"/>
        <v>0</v>
      </c>
      <c r="G144" s="55">
        <f t="shared" si="24"/>
        <v>0</v>
      </c>
      <c r="H144" s="113">
        <f t="shared" si="15"/>
        <v>0</v>
      </c>
      <c r="I144" s="122">
        <f t="shared" si="16"/>
        <v>0</v>
      </c>
      <c r="J144" s="54">
        <f t="shared" si="25"/>
        <v>0</v>
      </c>
      <c r="K144" s="54"/>
      <c r="L144" s="115"/>
      <c r="M144" s="54">
        <f t="shared" si="26"/>
        <v>0</v>
      </c>
      <c r="N144" s="115"/>
      <c r="O144" s="54">
        <f t="shared" si="27"/>
        <v>0</v>
      </c>
      <c r="P144" s="54">
        <f t="shared" si="28"/>
        <v>0</v>
      </c>
    </row>
    <row r="145" spans="2:16">
      <c r="B145" s="7" t="str">
        <f t="shared" si="21"/>
        <v/>
      </c>
      <c r="C145" s="50">
        <f>IF(D93="","-",+C144+1)</f>
        <v>2071</v>
      </c>
      <c r="D145" s="12">
        <f>IF(F144+SUM(E$99:E144)=D$92,F144,D$92-SUM(E$99:E144))</f>
        <v>0</v>
      </c>
      <c r="E145" s="56">
        <f t="shared" si="22"/>
        <v>0</v>
      </c>
      <c r="F145" s="55">
        <f t="shared" si="23"/>
        <v>0</v>
      </c>
      <c r="G145" s="55">
        <f t="shared" si="24"/>
        <v>0</v>
      </c>
      <c r="H145" s="113">
        <f t="shared" si="15"/>
        <v>0</v>
      </c>
      <c r="I145" s="122">
        <f t="shared" si="16"/>
        <v>0</v>
      </c>
      <c r="J145" s="54">
        <f t="shared" si="25"/>
        <v>0</v>
      </c>
      <c r="K145" s="54"/>
      <c r="L145" s="115"/>
      <c r="M145" s="54">
        <f t="shared" si="26"/>
        <v>0</v>
      </c>
      <c r="N145" s="115"/>
      <c r="O145" s="54">
        <f t="shared" si="27"/>
        <v>0</v>
      </c>
      <c r="P145" s="54">
        <f t="shared" si="28"/>
        <v>0</v>
      </c>
    </row>
    <row r="146" spans="2:16">
      <c r="B146" s="7" t="str">
        <f t="shared" si="21"/>
        <v/>
      </c>
      <c r="C146" s="50">
        <f>IF(D93="","-",+C145+1)</f>
        <v>2072</v>
      </c>
      <c r="D146" s="12">
        <f>IF(F145+SUM(E$99:E145)=D$92,F145,D$92-SUM(E$99:E145))</f>
        <v>0</v>
      </c>
      <c r="E146" s="56">
        <f t="shared" si="22"/>
        <v>0</v>
      </c>
      <c r="F146" s="55">
        <f t="shared" si="23"/>
        <v>0</v>
      </c>
      <c r="G146" s="55">
        <f t="shared" si="24"/>
        <v>0</v>
      </c>
      <c r="H146" s="113">
        <f t="shared" si="15"/>
        <v>0</v>
      </c>
      <c r="I146" s="122">
        <f t="shared" si="16"/>
        <v>0</v>
      </c>
      <c r="J146" s="54">
        <f t="shared" si="25"/>
        <v>0</v>
      </c>
      <c r="K146" s="54"/>
      <c r="L146" s="115"/>
      <c r="M146" s="54">
        <f t="shared" si="26"/>
        <v>0</v>
      </c>
      <c r="N146" s="115"/>
      <c r="O146" s="54">
        <f t="shared" si="27"/>
        <v>0</v>
      </c>
      <c r="P146" s="54">
        <f t="shared" si="28"/>
        <v>0</v>
      </c>
    </row>
    <row r="147" spans="2:16">
      <c r="B147" s="7" t="str">
        <f t="shared" si="21"/>
        <v/>
      </c>
      <c r="C147" s="50">
        <f>IF(D93="","-",+C146+1)</f>
        <v>2073</v>
      </c>
      <c r="D147" s="12">
        <f>IF(F146+SUM(E$99:E146)=D$92,F146,D$92-SUM(E$99:E146))</f>
        <v>0</v>
      </c>
      <c r="E147" s="56">
        <f t="shared" si="22"/>
        <v>0</v>
      </c>
      <c r="F147" s="55">
        <f t="shared" si="23"/>
        <v>0</v>
      </c>
      <c r="G147" s="55">
        <f t="shared" si="24"/>
        <v>0</v>
      </c>
      <c r="H147" s="113">
        <f t="shared" si="15"/>
        <v>0</v>
      </c>
      <c r="I147" s="122">
        <f t="shared" si="16"/>
        <v>0</v>
      </c>
      <c r="J147" s="54">
        <f t="shared" si="25"/>
        <v>0</v>
      </c>
      <c r="K147" s="54"/>
      <c r="L147" s="115"/>
      <c r="M147" s="54">
        <f t="shared" si="26"/>
        <v>0</v>
      </c>
      <c r="N147" s="115"/>
      <c r="O147" s="54">
        <f t="shared" si="27"/>
        <v>0</v>
      </c>
      <c r="P147" s="54">
        <f t="shared" si="28"/>
        <v>0</v>
      </c>
    </row>
    <row r="148" spans="2:16">
      <c r="B148" s="7" t="str">
        <f t="shared" si="21"/>
        <v/>
      </c>
      <c r="C148" s="50">
        <f>IF(D93="","-",+C147+1)</f>
        <v>2074</v>
      </c>
      <c r="D148" s="12">
        <f>IF(F147+SUM(E$99:E147)=D$92,F147,D$92-SUM(E$99:E147))</f>
        <v>0</v>
      </c>
      <c r="E148" s="56">
        <f t="shared" si="22"/>
        <v>0</v>
      </c>
      <c r="F148" s="55">
        <f t="shared" si="23"/>
        <v>0</v>
      </c>
      <c r="G148" s="55">
        <f t="shared" si="24"/>
        <v>0</v>
      </c>
      <c r="H148" s="113">
        <f t="shared" si="15"/>
        <v>0</v>
      </c>
      <c r="I148" s="122">
        <f t="shared" si="16"/>
        <v>0</v>
      </c>
      <c r="J148" s="54">
        <f t="shared" si="25"/>
        <v>0</v>
      </c>
      <c r="K148" s="54"/>
      <c r="L148" s="115"/>
      <c r="M148" s="54">
        <f t="shared" si="26"/>
        <v>0</v>
      </c>
      <c r="N148" s="115"/>
      <c r="O148" s="54">
        <f t="shared" si="27"/>
        <v>0</v>
      </c>
      <c r="P148" s="54">
        <f t="shared" si="28"/>
        <v>0</v>
      </c>
    </row>
    <row r="149" spans="2:16">
      <c r="B149" s="7" t="str">
        <f t="shared" si="21"/>
        <v/>
      </c>
      <c r="C149" s="50">
        <f>IF(D93="","-",+C148+1)</f>
        <v>2075</v>
      </c>
      <c r="D149" s="12">
        <f>IF(F148+SUM(E$99:E148)=D$92,F148,D$92-SUM(E$99:E148))</f>
        <v>0</v>
      </c>
      <c r="E149" s="56">
        <f t="shared" si="22"/>
        <v>0</v>
      </c>
      <c r="F149" s="55">
        <f t="shared" si="23"/>
        <v>0</v>
      </c>
      <c r="G149" s="55">
        <f t="shared" si="24"/>
        <v>0</v>
      </c>
      <c r="H149" s="113">
        <f t="shared" si="15"/>
        <v>0</v>
      </c>
      <c r="I149" s="122">
        <f t="shared" si="16"/>
        <v>0</v>
      </c>
      <c r="J149" s="54">
        <f t="shared" si="25"/>
        <v>0</v>
      </c>
      <c r="K149" s="54"/>
      <c r="L149" s="115"/>
      <c r="M149" s="54">
        <f t="shared" si="26"/>
        <v>0</v>
      </c>
      <c r="N149" s="115"/>
      <c r="O149" s="54">
        <f t="shared" si="27"/>
        <v>0</v>
      </c>
      <c r="P149" s="54">
        <f t="shared" si="28"/>
        <v>0</v>
      </c>
    </row>
    <row r="150" spans="2:16">
      <c r="B150" s="7" t="str">
        <f t="shared" si="21"/>
        <v/>
      </c>
      <c r="C150" s="50">
        <f>IF(D93="","-",+C149+1)</f>
        <v>2076</v>
      </c>
      <c r="D150" s="12">
        <f>IF(F149+SUM(E$99:E149)=D$92,F149,D$92-SUM(E$99:E149))</f>
        <v>0</v>
      </c>
      <c r="E150" s="56">
        <f t="shared" si="22"/>
        <v>0</v>
      </c>
      <c r="F150" s="55">
        <f t="shared" si="23"/>
        <v>0</v>
      </c>
      <c r="G150" s="55">
        <f t="shared" si="24"/>
        <v>0</v>
      </c>
      <c r="H150" s="113">
        <f t="shared" si="15"/>
        <v>0</v>
      </c>
      <c r="I150" s="122">
        <f t="shared" si="16"/>
        <v>0</v>
      </c>
      <c r="J150" s="54">
        <f t="shared" si="25"/>
        <v>0</v>
      </c>
      <c r="K150" s="54"/>
      <c r="L150" s="115"/>
      <c r="M150" s="54">
        <f t="shared" si="26"/>
        <v>0</v>
      </c>
      <c r="N150" s="115"/>
      <c r="O150" s="54">
        <f t="shared" si="27"/>
        <v>0</v>
      </c>
      <c r="P150" s="54">
        <f t="shared" si="28"/>
        <v>0</v>
      </c>
    </row>
    <row r="151" spans="2:16">
      <c r="B151" s="7" t="str">
        <f t="shared" si="21"/>
        <v/>
      </c>
      <c r="C151" s="50">
        <f>IF(D93="","-",+C150+1)</f>
        <v>2077</v>
      </c>
      <c r="D151" s="12">
        <f>IF(F150+SUM(E$99:E150)=D$92,F150,D$92-SUM(E$99:E150))</f>
        <v>0</v>
      </c>
      <c r="E151" s="56">
        <f t="shared" si="22"/>
        <v>0</v>
      </c>
      <c r="F151" s="55">
        <f t="shared" si="23"/>
        <v>0</v>
      </c>
      <c r="G151" s="55">
        <f t="shared" si="24"/>
        <v>0</v>
      </c>
      <c r="H151" s="113">
        <f t="shared" si="15"/>
        <v>0</v>
      </c>
      <c r="I151" s="122">
        <f t="shared" si="16"/>
        <v>0</v>
      </c>
      <c r="J151" s="54">
        <f t="shared" si="25"/>
        <v>0</v>
      </c>
      <c r="K151" s="54"/>
      <c r="L151" s="115"/>
      <c r="M151" s="54">
        <f t="shared" si="26"/>
        <v>0</v>
      </c>
      <c r="N151" s="115"/>
      <c r="O151" s="54">
        <f t="shared" si="27"/>
        <v>0</v>
      </c>
      <c r="P151" s="54">
        <f t="shared" si="28"/>
        <v>0</v>
      </c>
    </row>
    <row r="152" spans="2:16">
      <c r="B152" s="7" t="str">
        <f t="shared" si="21"/>
        <v/>
      </c>
      <c r="C152" s="50">
        <f>IF(D93="","-",+C151+1)</f>
        <v>2078</v>
      </c>
      <c r="D152" s="12">
        <f>IF(F151+SUM(E$99:E151)=D$92,F151,D$92-SUM(E$99:E151))</f>
        <v>0</v>
      </c>
      <c r="E152" s="56">
        <f t="shared" si="22"/>
        <v>0</v>
      </c>
      <c r="F152" s="55">
        <f t="shared" si="23"/>
        <v>0</v>
      </c>
      <c r="G152" s="55">
        <f t="shared" si="24"/>
        <v>0</v>
      </c>
      <c r="H152" s="113">
        <f t="shared" si="15"/>
        <v>0</v>
      </c>
      <c r="I152" s="122">
        <f t="shared" si="16"/>
        <v>0</v>
      </c>
      <c r="J152" s="54">
        <f t="shared" si="25"/>
        <v>0</v>
      </c>
      <c r="K152" s="54"/>
      <c r="L152" s="115"/>
      <c r="M152" s="54">
        <f t="shared" si="26"/>
        <v>0</v>
      </c>
      <c r="N152" s="115"/>
      <c r="O152" s="54">
        <f t="shared" si="27"/>
        <v>0</v>
      </c>
      <c r="P152" s="54">
        <f t="shared" si="28"/>
        <v>0</v>
      </c>
    </row>
    <row r="153" spans="2:16">
      <c r="B153" s="7" t="str">
        <f t="shared" si="21"/>
        <v/>
      </c>
      <c r="C153" s="50">
        <f>IF(D93="","-",+C152+1)</f>
        <v>2079</v>
      </c>
      <c r="D153" s="12">
        <f>IF(F152+SUM(E$99:E152)=D$92,F152,D$92-SUM(E$99:E152))</f>
        <v>0</v>
      </c>
      <c r="E153" s="56">
        <f t="shared" si="22"/>
        <v>0</v>
      </c>
      <c r="F153" s="55">
        <f t="shared" si="23"/>
        <v>0</v>
      </c>
      <c r="G153" s="55">
        <f t="shared" si="24"/>
        <v>0</v>
      </c>
      <c r="H153" s="113">
        <f t="shared" si="15"/>
        <v>0</v>
      </c>
      <c r="I153" s="122">
        <f t="shared" si="16"/>
        <v>0</v>
      </c>
      <c r="J153" s="54">
        <f t="shared" si="25"/>
        <v>0</v>
      </c>
      <c r="K153" s="54"/>
      <c r="L153" s="115"/>
      <c r="M153" s="54">
        <f t="shared" si="26"/>
        <v>0</v>
      </c>
      <c r="N153" s="115"/>
      <c r="O153" s="54">
        <f t="shared" si="27"/>
        <v>0</v>
      </c>
      <c r="P153" s="54">
        <f t="shared" si="28"/>
        <v>0</v>
      </c>
    </row>
    <row r="154" spans="2:16" ht="13.5" thickBot="1">
      <c r="B154" s="7" t="str">
        <f t="shared" si="21"/>
        <v/>
      </c>
      <c r="C154" s="58">
        <f>IF(D93="","-",+C153+1)</f>
        <v>2080</v>
      </c>
      <c r="D154" s="82">
        <f>IF(F153+SUM(E$99:E153)=D$92,F153,D$92-SUM(E$99:E153))</f>
        <v>0</v>
      </c>
      <c r="E154" s="60">
        <f t="shared" si="22"/>
        <v>0</v>
      </c>
      <c r="F154" s="59">
        <f t="shared" si="23"/>
        <v>0</v>
      </c>
      <c r="G154" s="59">
        <f t="shared" si="24"/>
        <v>0</v>
      </c>
      <c r="H154" s="123">
        <f t="shared" si="15"/>
        <v>0</v>
      </c>
      <c r="I154" s="124">
        <f t="shared" si="16"/>
        <v>0</v>
      </c>
      <c r="J154" s="62">
        <f t="shared" si="25"/>
        <v>0</v>
      </c>
      <c r="K154" s="54"/>
      <c r="L154" s="116"/>
      <c r="M154" s="62">
        <f t="shared" si="26"/>
        <v>0</v>
      </c>
      <c r="N154" s="116"/>
      <c r="O154" s="62">
        <f t="shared" si="27"/>
        <v>0</v>
      </c>
      <c r="P154" s="62">
        <f t="shared" si="28"/>
        <v>0</v>
      </c>
    </row>
    <row r="155" spans="2:16">
      <c r="C155" s="12" t="s">
        <v>77</v>
      </c>
      <c r="D155" s="14"/>
      <c r="E155" s="14">
        <f>SUM(E99:E154)</f>
        <v>504259.99000000005</v>
      </c>
      <c r="F155" s="14"/>
      <c r="G155" s="14"/>
      <c r="H155" s="14">
        <f>SUM(H99:H154)</f>
        <v>1640260.794477816</v>
      </c>
      <c r="I155" s="14">
        <f>SUM(I99:I154)</f>
        <v>1640260.794477816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3A5AB-6B68-43D1-9DAC-17D812842DF2}">
  <dimension ref="A1:P162"/>
  <sheetViews>
    <sheetView topLeftCell="A80" zoomScaleNormal="100" zoomScaleSheetLayoutView="78" workbookViewId="0">
      <selection activeCell="D10" sqref="D1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34 of 36</v>
      </c>
    </row>
    <row r="2" spans="1:16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5.75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279</v>
      </c>
      <c r="L5" s="18"/>
      <c r="M5" s="19"/>
      <c r="N5" s="20">
        <f>VLOOKUP(I10,C17:I72,5)</f>
        <v>43623.523299029308</v>
      </c>
      <c r="P5" s="1"/>
    </row>
    <row r="6" spans="1:16" ht="15.75">
      <c r="C6" s="6"/>
      <c r="D6" s="2"/>
      <c r="E6" s="1"/>
      <c r="F6" s="1"/>
      <c r="G6" s="1"/>
      <c r="H6" s="21"/>
      <c r="I6" s="21"/>
      <c r="J6" s="22"/>
      <c r="K6" s="23" t="s">
        <v>280</v>
      </c>
      <c r="L6" s="24"/>
      <c r="M6" s="1"/>
      <c r="N6" s="25">
        <f>VLOOKUP(I10,C17:I72,6)</f>
        <v>43623.523299029308</v>
      </c>
      <c r="O6" s="1"/>
      <c r="P6" s="1"/>
    </row>
    <row r="7" spans="1:16" ht="13.5" thickBot="1">
      <c r="C7" s="26" t="s">
        <v>46</v>
      </c>
      <c r="D7" s="88" t="s">
        <v>365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51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364</v>
      </c>
      <c r="E9" s="438" t="s">
        <v>383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5">
        <v>594727</v>
      </c>
      <c r="E10" s="1" t="s">
        <v>51</v>
      </c>
      <c r="G10" s="2"/>
      <c r="H10" s="2"/>
      <c r="I10" s="36">
        <f>+'PSO.WS.F.BPU.ATRR.Projected'!L19</f>
        <v>2025</v>
      </c>
      <c r="J10" s="34"/>
      <c r="K10" s="14" t="s">
        <v>52</v>
      </c>
      <c r="O10" s="1"/>
      <c r="P10" s="1"/>
    </row>
    <row r="11" spans="1:16">
      <c r="C11" s="37" t="s">
        <v>53</v>
      </c>
      <c r="D11" s="38">
        <v>2025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5">
        <v>4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14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15650.71052631579</v>
      </c>
      <c r="J14" s="14"/>
      <c r="K14" s="14"/>
      <c r="L14" s="14"/>
      <c r="M14" s="14"/>
      <c r="N14" s="14"/>
      <c r="O14" s="1"/>
      <c r="P14" s="1"/>
    </row>
    <row r="15" spans="1:16" ht="38.25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281</v>
      </c>
      <c r="H15" s="126" t="s">
        <v>282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>
      <c r="B17" s="7"/>
      <c r="C17" s="50">
        <f>IF(D11= "","-",D11)</f>
        <v>2025</v>
      </c>
      <c r="D17" s="518">
        <v>0</v>
      </c>
      <c r="E17" s="518">
        <v>10433.798805362831</v>
      </c>
      <c r="F17" s="518">
        <v>584292.73310031858</v>
      </c>
      <c r="G17" s="518">
        <v>43623.523299029308</v>
      </c>
      <c r="H17" s="518">
        <v>43623.523299029308</v>
      </c>
      <c r="I17" s="52">
        <f>H17-G17</f>
        <v>0</v>
      </c>
      <c r="J17" s="52"/>
      <c r="K17" s="117">
        <f>+G17</f>
        <v>43623.523299029308</v>
      </c>
      <c r="L17" s="469">
        <f t="shared" ref="L17" si="0">IF(K17&lt;&gt;0,+G17-K17,0)</f>
        <v>0</v>
      </c>
      <c r="M17" s="117">
        <f>+H17</f>
        <v>43623.523299029308</v>
      </c>
      <c r="N17" s="469">
        <f t="shared" ref="N17" si="1">IF(M17&lt;&gt;0,+H17-M17,0)</f>
        <v>0</v>
      </c>
      <c r="O17" s="446">
        <f t="shared" ref="O17" si="2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2026</v>
      </c>
      <c r="D18" s="466">
        <f>IF(F17+SUM(E$17:E17)=D$10,F17,D$10-SUM(E$17:E17))</f>
        <v>584293.20119463722</v>
      </c>
      <c r="E18" s="56">
        <f>IF(+I$14&lt;F17,I$14,D18)</f>
        <v>15650.71052631579</v>
      </c>
      <c r="F18" s="466">
        <f>+D18-E18</f>
        <v>568642.49066832138</v>
      </c>
      <c r="G18" s="470">
        <f>(D18+F18)/2*I$12+E18</f>
        <v>81141.201514976477</v>
      </c>
      <c r="H18" s="467">
        <f>+(D18+F18)/2*I$13+E18</f>
        <v>81141.201514976477</v>
      </c>
      <c r="I18" s="52">
        <f>H18-G18</f>
        <v>0</v>
      </c>
      <c r="J18" s="52"/>
      <c r="K18" s="115"/>
      <c r="L18" s="54">
        <f t="shared" ref="L18:L72" si="3">IF(K18&lt;&gt;0,+G18-K18,0)</f>
        <v>0</v>
      </c>
      <c r="M18" s="115"/>
      <c r="N18" s="54">
        <f t="shared" ref="N18:N72" si="4">IF(M18&lt;&gt;0,+H18-M18,0)</f>
        <v>0</v>
      </c>
      <c r="O18" s="54">
        <f t="shared" ref="O18:O72" si="5">+N18-L18</f>
        <v>0</v>
      </c>
      <c r="P18" s="1"/>
    </row>
    <row r="19" spans="2:16">
      <c r="B19" s="7" t="str">
        <f>IF(D19=F18,"","IU")</f>
        <v/>
      </c>
      <c r="C19" s="50">
        <f>IF(D11="","-",+C18+1)</f>
        <v>2027</v>
      </c>
      <c r="D19" s="466">
        <f>IF(F18+SUM(E$17:E18)=D$10,F18,D$10-SUM(E$17:E18))</f>
        <v>568642.49066832138</v>
      </c>
      <c r="E19" s="56">
        <f t="shared" ref="E19:E71" si="6">IF(+I$14&lt;F18,I$14,D19)</f>
        <v>15650.71052631579</v>
      </c>
      <c r="F19" s="466">
        <f t="shared" ref="F19:F71" si="7">+D19-E19</f>
        <v>552991.78014200553</v>
      </c>
      <c r="G19" s="470">
        <f t="shared" ref="G19:G71" si="8">(D19+F19)/2*I$12+E19</f>
        <v>79363.179160522996</v>
      </c>
      <c r="H19" s="467">
        <f t="shared" ref="H19:H71" si="9">+(D19+F19)/2*I$13+E19</f>
        <v>79363.179160522996</v>
      </c>
      <c r="I19" s="52">
        <f t="shared" ref="I19:I71" si="10">H19-G19</f>
        <v>0</v>
      </c>
      <c r="J19" s="52"/>
      <c r="K19" s="115"/>
      <c r="L19" s="54">
        <f t="shared" si="3"/>
        <v>0</v>
      </c>
      <c r="M19" s="115"/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11">IF(D20=F19,"","IU")</f>
        <v/>
      </c>
      <c r="C20" s="50">
        <f>IF(D11="","-",+C19+1)</f>
        <v>2028</v>
      </c>
      <c r="D20" s="466">
        <f>IF(F19+SUM(E$17:E19)=D$10,F19,D$10-SUM(E$17:E19))</f>
        <v>552991.78014200553</v>
      </c>
      <c r="E20" s="56">
        <f t="shared" si="6"/>
        <v>15650.71052631579</v>
      </c>
      <c r="F20" s="466">
        <f t="shared" si="7"/>
        <v>537341.06961568969</v>
      </c>
      <c r="G20" s="470">
        <f t="shared" si="8"/>
        <v>77585.156806069484</v>
      </c>
      <c r="H20" s="467">
        <f t="shared" si="9"/>
        <v>77585.156806069484</v>
      </c>
      <c r="I20" s="52">
        <f t="shared" si="10"/>
        <v>0</v>
      </c>
      <c r="J20" s="52"/>
      <c r="K20" s="115"/>
      <c r="L20" s="54">
        <f t="shared" si="3"/>
        <v>0</v>
      </c>
      <c r="M20" s="115"/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11"/>
        <v/>
      </c>
      <c r="C21" s="50">
        <f>IF(D11="","-",+C20+1)</f>
        <v>2029</v>
      </c>
      <c r="D21" s="466">
        <f>IF(F20+SUM(E$17:E20)=D$10,F20,D$10-SUM(E$17:E20))</f>
        <v>537341.06961568969</v>
      </c>
      <c r="E21" s="56">
        <f t="shared" si="6"/>
        <v>15650.71052631579</v>
      </c>
      <c r="F21" s="466">
        <f t="shared" si="7"/>
        <v>521690.3590893739</v>
      </c>
      <c r="G21" s="470">
        <f t="shared" si="8"/>
        <v>75807.134451616002</v>
      </c>
      <c r="H21" s="467">
        <f t="shared" si="9"/>
        <v>75807.134451616002</v>
      </c>
      <c r="I21" s="52">
        <f t="shared" si="10"/>
        <v>0</v>
      </c>
      <c r="J21" s="52"/>
      <c r="K21" s="115"/>
      <c r="L21" s="54">
        <f t="shared" si="3"/>
        <v>0</v>
      </c>
      <c r="M21" s="115"/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11"/>
        <v/>
      </c>
      <c r="C22" s="50">
        <f>IF(D11="","-",+C21+1)</f>
        <v>2030</v>
      </c>
      <c r="D22" s="466">
        <f>IF(F21+SUM(E$17:E21)=D$10,F21,D$10-SUM(E$17:E21))</f>
        <v>521690.3590893739</v>
      </c>
      <c r="E22" s="56">
        <f t="shared" si="6"/>
        <v>15650.71052631579</v>
      </c>
      <c r="F22" s="466">
        <f t="shared" si="7"/>
        <v>506039.64856305812</v>
      </c>
      <c r="G22" s="470">
        <f t="shared" si="8"/>
        <v>74029.112097162506</v>
      </c>
      <c r="H22" s="467">
        <f t="shared" si="9"/>
        <v>74029.112097162506</v>
      </c>
      <c r="I22" s="52">
        <f t="shared" si="10"/>
        <v>0</v>
      </c>
      <c r="J22" s="52"/>
      <c r="K22" s="115"/>
      <c r="L22" s="54">
        <f t="shared" si="3"/>
        <v>0</v>
      </c>
      <c r="M22" s="115"/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11"/>
        <v/>
      </c>
      <c r="C23" s="50">
        <f>IF(D11="","-",+C22+1)</f>
        <v>2031</v>
      </c>
      <c r="D23" s="466">
        <f>IF(F22+SUM(E$17:E22)=D$10,F22,D$10-SUM(E$17:E22))</f>
        <v>506039.64856305812</v>
      </c>
      <c r="E23" s="56">
        <f t="shared" si="6"/>
        <v>15650.71052631579</v>
      </c>
      <c r="F23" s="466">
        <f t="shared" si="7"/>
        <v>490388.93803674233</v>
      </c>
      <c r="G23" s="470">
        <f t="shared" si="8"/>
        <v>72251.089742709024</v>
      </c>
      <c r="H23" s="467">
        <f t="shared" si="9"/>
        <v>72251.089742709024</v>
      </c>
      <c r="I23" s="52">
        <f t="shared" si="10"/>
        <v>0</v>
      </c>
      <c r="J23" s="52"/>
      <c r="K23" s="115"/>
      <c r="L23" s="54">
        <f t="shared" si="3"/>
        <v>0</v>
      </c>
      <c r="M23" s="115"/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11"/>
        <v/>
      </c>
      <c r="C24" s="50">
        <f>IF(D11="","-",+C23+1)</f>
        <v>2032</v>
      </c>
      <c r="D24" s="466">
        <f>IF(F23+SUM(E$17:E23)=D$10,F23,D$10-SUM(E$17:E23))</f>
        <v>490388.93803674233</v>
      </c>
      <c r="E24" s="56">
        <f t="shared" si="6"/>
        <v>15650.71052631579</v>
      </c>
      <c r="F24" s="466">
        <f t="shared" si="7"/>
        <v>474738.22751042654</v>
      </c>
      <c r="G24" s="470">
        <f t="shared" si="8"/>
        <v>70473.067388255527</v>
      </c>
      <c r="H24" s="467">
        <f t="shared" si="9"/>
        <v>70473.067388255527</v>
      </c>
      <c r="I24" s="52">
        <f t="shared" si="10"/>
        <v>0</v>
      </c>
      <c r="J24" s="52"/>
      <c r="K24" s="115"/>
      <c r="L24" s="54">
        <f t="shared" si="3"/>
        <v>0</v>
      </c>
      <c r="M24" s="115"/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11"/>
        <v/>
      </c>
      <c r="C25" s="50">
        <f>IF(D11="","-",+C24+1)</f>
        <v>2033</v>
      </c>
      <c r="D25" s="466">
        <f>IF(F24+SUM(E$17:E24)=D$10,F24,D$10-SUM(E$17:E24))</f>
        <v>474738.22751042654</v>
      </c>
      <c r="E25" s="56">
        <f t="shared" si="6"/>
        <v>15650.71052631579</v>
      </c>
      <c r="F25" s="466">
        <f t="shared" si="7"/>
        <v>459087.51698411076</v>
      </c>
      <c r="G25" s="470">
        <f t="shared" si="8"/>
        <v>68695.045033802031</v>
      </c>
      <c r="H25" s="467">
        <f t="shared" si="9"/>
        <v>68695.045033802031</v>
      </c>
      <c r="I25" s="52">
        <f t="shared" si="10"/>
        <v>0</v>
      </c>
      <c r="J25" s="52"/>
      <c r="K25" s="115"/>
      <c r="L25" s="54">
        <f t="shared" si="3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>
      <c r="B26" s="7" t="str">
        <f t="shared" si="11"/>
        <v/>
      </c>
      <c r="C26" s="50">
        <f>IF(D11="","-",+C25+1)</f>
        <v>2034</v>
      </c>
      <c r="D26" s="466">
        <f>IF(F25+SUM(E$17:E25)=D$10,F25,D$10-SUM(E$17:E25))</f>
        <v>459087.51698411076</v>
      </c>
      <c r="E26" s="56">
        <f t="shared" si="6"/>
        <v>15650.71052631579</v>
      </c>
      <c r="F26" s="466">
        <f t="shared" si="7"/>
        <v>443436.80645779497</v>
      </c>
      <c r="G26" s="470">
        <f t="shared" si="8"/>
        <v>66917.022679348534</v>
      </c>
      <c r="H26" s="467">
        <f t="shared" si="9"/>
        <v>66917.022679348534</v>
      </c>
      <c r="I26" s="52">
        <f t="shared" si="10"/>
        <v>0</v>
      </c>
      <c r="J26" s="52"/>
      <c r="K26" s="115"/>
      <c r="L26" s="54">
        <f t="shared" si="3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11"/>
        <v/>
      </c>
      <c r="C27" s="50">
        <f>IF(D11="","-",+C26+1)</f>
        <v>2035</v>
      </c>
      <c r="D27" s="466">
        <f>IF(F26+SUM(E$17:E26)=D$10,F26,D$10-SUM(E$17:E26))</f>
        <v>443436.80645779497</v>
      </c>
      <c r="E27" s="56">
        <f t="shared" si="6"/>
        <v>15650.71052631579</v>
      </c>
      <c r="F27" s="466">
        <f t="shared" si="7"/>
        <v>427786.09593147918</v>
      </c>
      <c r="G27" s="470">
        <f t="shared" si="8"/>
        <v>65139.000324895052</v>
      </c>
      <c r="H27" s="467">
        <f t="shared" si="9"/>
        <v>65139.000324895052</v>
      </c>
      <c r="I27" s="52">
        <f t="shared" si="10"/>
        <v>0</v>
      </c>
      <c r="J27" s="52"/>
      <c r="K27" s="115"/>
      <c r="L27" s="54">
        <f t="shared" si="3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11"/>
        <v/>
      </c>
      <c r="C28" s="50">
        <f>IF(D11="","-",+C27+1)</f>
        <v>2036</v>
      </c>
      <c r="D28" s="466">
        <f>IF(F27+SUM(E$17:E27)=D$10,F27,D$10-SUM(E$17:E27))</f>
        <v>427786.09593147918</v>
      </c>
      <c r="E28" s="56">
        <f t="shared" si="6"/>
        <v>15650.71052631579</v>
      </c>
      <c r="F28" s="466">
        <f t="shared" si="7"/>
        <v>412135.3854051634</v>
      </c>
      <c r="G28" s="470">
        <f t="shared" si="8"/>
        <v>63360.977970441556</v>
      </c>
      <c r="H28" s="467">
        <f t="shared" si="9"/>
        <v>63360.977970441556</v>
      </c>
      <c r="I28" s="52">
        <f t="shared" si="10"/>
        <v>0</v>
      </c>
      <c r="J28" s="52"/>
      <c r="K28" s="115"/>
      <c r="L28" s="54">
        <f t="shared" si="3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11"/>
        <v/>
      </c>
      <c r="C29" s="50">
        <f>IF(D11="","-",+C28+1)</f>
        <v>2037</v>
      </c>
      <c r="D29" s="466">
        <f>IF(F28+SUM(E$17:E28)=D$10,F28,D$10-SUM(E$17:E28))</f>
        <v>412135.3854051634</v>
      </c>
      <c r="E29" s="56">
        <f t="shared" si="6"/>
        <v>15650.71052631579</v>
      </c>
      <c r="F29" s="466">
        <f t="shared" si="7"/>
        <v>396484.67487884761</v>
      </c>
      <c r="G29" s="470">
        <f t="shared" si="8"/>
        <v>61582.955615988074</v>
      </c>
      <c r="H29" s="467">
        <f t="shared" si="9"/>
        <v>61582.955615988074</v>
      </c>
      <c r="I29" s="52">
        <f t="shared" si="10"/>
        <v>0</v>
      </c>
      <c r="J29" s="52"/>
      <c r="K29" s="115"/>
      <c r="L29" s="54">
        <f t="shared" si="3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11"/>
        <v/>
      </c>
      <c r="C30" s="50">
        <f>IF(D11="","-",+C29+1)</f>
        <v>2038</v>
      </c>
      <c r="D30" s="466">
        <f>IF(F29+SUM(E$17:E29)=D$10,F29,D$10-SUM(E$17:E29))</f>
        <v>396484.67487884761</v>
      </c>
      <c r="E30" s="56">
        <f t="shared" si="6"/>
        <v>15650.71052631579</v>
      </c>
      <c r="F30" s="466">
        <f t="shared" si="7"/>
        <v>380833.96435253182</v>
      </c>
      <c r="G30" s="470">
        <f t="shared" si="8"/>
        <v>59804.933261534577</v>
      </c>
      <c r="H30" s="467">
        <f t="shared" si="9"/>
        <v>59804.933261534577</v>
      </c>
      <c r="I30" s="52">
        <f t="shared" si="10"/>
        <v>0</v>
      </c>
      <c r="J30" s="52"/>
      <c r="K30" s="115"/>
      <c r="L30" s="54">
        <f t="shared" si="3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11"/>
        <v/>
      </c>
      <c r="C31" s="50">
        <f>IF(D11="","-",+C30+1)</f>
        <v>2039</v>
      </c>
      <c r="D31" s="466">
        <f>IF(F30+SUM(E$17:E30)=D$10,F30,D$10-SUM(E$17:E30))</f>
        <v>380833.96435253182</v>
      </c>
      <c r="E31" s="56">
        <f t="shared" si="6"/>
        <v>15650.71052631579</v>
      </c>
      <c r="F31" s="466">
        <f t="shared" si="7"/>
        <v>365183.25382621604</v>
      </c>
      <c r="G31" s="470">
        <f t="shared" si="8"/>
        <v>58026.910907081096</v>
      </c>
      <c r="H31" s="467">
        <f t="shared" si="9"/>
        <v>58026.910907081096</v>
      </c>
      <c r="I31" s="52">
        <f t="shared" si="10"/>
        <v>0</v>
      </c>
      <c r="J31" s="52"/>
      <c r="K31" s="115"/>
      <c r="L31" s="54">
        <f t="shared" si="3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11"/>
        <v/>
      </c>
      <c r="C32" s="50">
        <f>IF(D11="","-",+C31+1)</f>
        <v>2040</v>
      </c>
      <c r="D32" s="466">
        <f>IF(F31+SUM(E$17:E31)=D$10,F31,D$10-SUM(E$17:E31))</f>
        <v>365183.25382621604</v>
      </c>
      <c r="E32" s="56">
        <f t="shared" si="6"/>
        <v>15650.71052631579</v>
      </c>
      <c r="F32" s="466">
        <f t="shared" si="7"/>
        <v>349532.54329990025</v>
      </c>
      <c r="G32" s="470">
        <f t="shared" si="8"/>
        <v>56248.888552627599</v>
      </c>
      <c r="H32" s="467">
        <f t="shared" si="9"/>
        <v>56248.888552627599</v>
      </c>
      <c r="I32" s="52">
        <f t="shared" si="10"/>
        <v>0</v>
      </c>
      <c r="J32" s="52"/>
      <c r="K32" s="115"/>
      <c r="L32" s="54">
        <f t="shared" si="3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11"/>
        <v/>
      </c>
      <c r="C33" s="50">
        <f>IF(D11="","-",+C32+1)</f>
        <v>2041</v>
      </c>
      <c r="D33" s="466">
        <f>IF(F32+SUM(E$17:E32)=D$10,F32,D$10-SUM(E$17:E32))</f>
        <v>349532.54329990025</v>
      </c>
      <c r="E33" s="56">
        <f t="shared" si="6"/>
        <v>15650.71052631579</v>
      </c>
      <c r="F33" s="466">
        <f t="shared" si="7"/>
        <v>333881.83277358447</v>
      </c>
      <c r="G33" s="470">
        <f t="shared" si="8"/>
        <v>54470.866198174102</v>
      </c>
      <c r="H33" s="467">
        <f t="shared" si="9"/>
        <v>54470.866198174102</v>
      </c>
      <c r="I33" s="52">
        <f t="shared" si="10"/>
        <v>0</v>
      </c>
      <c r="J33" s="52"/>
      <c r="K33" s="115"/>
      <c r="L33" s="54">
        <f t="shared" si="3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11"/>
        <v/>
      </c>
      <c r="C34" s="50">
        <f>IF(D11="","-",+C33+1)</f>
        <v>2042</v>
      </c>
      <c r="D34" s="466">
        <f>IF(F33+SUM(E$17:E33)=D$10,F33,D$10-SUM(E$17:E33))</f>
        <v>333881.83277358447</v>
      </c>
      <c r="E34" s="56">
        <f t="shared" si="6"/>
        <v>15650.71052631579</v>
      </c>
      <c r="F34" s="466">
        <f t="shared" si="7"/>
        <v>318231.12224726868</v>
      </c>
      <c r="G34" s="470">
        <f t="shared" si="8"/>
        <v>52692.843843720606</v>
      </c>
      <c r="H34" s="467">
        <f t="shared" si="9"/>
        <v>52692.843843720606</v>
      </c>
      <c r="I34" s="52">
        <f t="shared" si="10"/>
        <v>0</v>
      </c>
      <c r="J34" s="52"/>
      <c r="K34" s="115"/>
      <c r="L34" s="54">
        <f t="shared" si="3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11"/>
        <v/>
      </c>
      <c r="C35" s="50">
        <f>IF(D11="","-",+C34+1)</f>
        <v>2043</v>
      </c>
      <c r="D35" s="466">
        <f>IF(F34+SUM(E$17:E34)=D$10,F34,D$10-SUM(E$17:E34))</f>
        <v>318231.12224726868</v>
      </c>
      <c r="E35" s="56">
        <f t="shared" si="6"/>
        <v>15650.71052631579</v>
      </c>
      <c r="F35" s="466">
        <f t="shared" si="7"/>
        <v>302580.41172095289</v>
      </c>
      <c r="G35" s="470">
        <f t="shared" si="8"/>
        <v>50914.821489267124</v>
      </c>
      <c r="H35" s="467">
        <f t="shared" si="9"/>
        <v>50914.821489267124</v>
      </c>
      <c r="I35" s="52">
        <f t="shared" si="10"/>
        <v>0</v>
      </c>
      <c r="J35" s="52"/>
      <c r="K35" s="115"/>
      <c r="L35" s="54">
        <f t="shared" si="3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11"/>
        <v/>
      </c>
      <c r="C36" s="50">
        <f>IF(D11="","-",+C35+1)</f>
        <v>2044</v>
      </c>
      <c r="D36" s="466">
        <f>IF(F35+SUM(E$17:E35)=D$10,F35,D$10-SUM(E$17:E35))</f>
        <v>302580.41172095289</v>
      </c>
      <c r="E36" s="56">
        <f t="shared" si="6"/>
        <v>15650.71052631579</v>
      </c>
      <c r="F36" s="466">
        <f t="shared" si="7"/>
        <v>286929.70119463711</v>
      </c>
      <c r="G36" s="470">
        <f t="shared" si="8"/>
        <v>49136.799134813627</v>
      </c>
      <c r="H36" s="467">
        <f t="shared" si="9"/>
        <v>49136.799134813627</v>
      </c>
      <c r="I36" s="52">
        <f t="shared" si="10"/>
        <v>0</v>
      </c>
      <c r="J36" s="52"/>
      <c r="K36" s="115"/>
      <c r="L36" s="54">
        <f t="shared" si="3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11"/>
        <v/>
      </c>
      <c r="C37" s="50">
        <f>IF(D11="","-",+C36+1)</f>
        <v>2045</v>
      </c>
      <c r="D37" s="466">
        <f>IF(F36+SUM(E$17:E36)=D$10,F36,D$10-SUM(E$17:E36))</f>
        <v>286929.70119463711</v>
      </c>
      <c r="E37" s="56">
        <f t="shared" si="6"/>
        <v>15650.71052631579</v>
      </c>
      <c r="F37" s="466">
        <f t="shared" si="7"/>
        <v>271278.99066832132</v>
      </c>
      <c r="G37" s="470">
        <f t="shared" si="8"/>
        <v>47358.776780360145</v>
      </c>
      <c r="H37" s="467">
        <f t="shared" si="9"/>
        <v>47358.776780360145</v>
      </c>
      <c r="I37" s="52">
        <f t="shared" si="10"/>
        <v>0</v>
      </c>
      <c r="J37" s="52"/>
      <c r="K37" s="115"/>
      <c r="L37" s="54">
        <f t="shared" si="3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11"/>
        <v/>
      </c>
      <c r="C38" s="50">
        <f>IF(D11="","-",+C37+1)</f>
        <v>2046</v>
      </c>
      <c r="D38" s="466">
        <f>IF(F37+SUM(E$17:E37)=D$10,F37,D$10-SUM(E$17:E37))</f>
        <v>271278.99066832132</v>
      </c>
      <c r="E38" s="56">
        <f t="shared" si="6"/>
        <v>15650.71052631579</v>
      </c>
      <c r="F38" s="466">
        <f t="shared" si="7"/>
        <v>255628.28014200553</v>
      </c>
      <c r="G38" s="470">
        <f t="shared" si="8"/>
        <v>45580.754425906649</v>
      </c>
      <c r="H38" s="467">
        <f t="shared" si="9"/>
        <v>45580.754425906649</v>
      </c>
      <c r="I38" s="52">
        <f t="shared" si="10"/>
        <v>0</v>
      </c>
      <c r="J38" s="52"/>
      <c r="K38" s="115"/>
      <c r="L38" s="54">
        <f t="shared" si="3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11"/>
        <v/>
      </c>
      <c r="C39" s="50">
        <f>IF(D11="","-",+C38+1)</f>
        <v>2047</v>
      </c>
      <c r="D39" s="466">
        <f>IF(F38+SUM(E$17:E38)=D$10,F38,D$10-SUM(E$17:E38))</f>
        <v>255628.28014200553</v>
      </c>
      <c r="E39" s="56">
        <f t="shared" si="6"/>
        <v>15650.71052631579</v>
      </c>
      <c r="F39" s="466">
        <f t="shared" si="7"/>
        <v>239977.56961568975</v>
      </c>
      <c r="G39" s="470">
        <f t="shared" si="8"/>
        <v>43802.73207145316</v>
      </c>
      <c r="H39" s="467">
        <f t="shared" si="9"/>
        <v>43802.73207145316</v>
      </c>
      <c r="I39" s="52">
        <f t="shared" si="10"/>
        <v>0</v>
      </c>
      <c r="J39" s="52"/>
      <c r="K39" s="115"/>
      <c r="L39" s="54">
        <f t="shared" si="3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11"/>
        <v/>
      </c>
      <c r="C40" s="50">
        <f>IF(D11="","-",+C39+1)</f>
        <v>2048</v>
      </c>
      <c r="D40" s="466">
        <f>IF(F39+SUM(E$17:E39)=D$10,F39,D$10-SUM(E$17:E39))</f>
        <v>239977.56961568975</v>
      </c>
      <c r="E40" s="56">
        <f t="shared" si="6"/>
        <v>15650.71052631579</v>
      </c>
      <c r="F40" s="466">
        <f t="shared" si="7"/>
        <v>224326.85908937396</v>
      </c>
      <c r="G40" s="470">
        <f t="shared" si="8"/>
        <v>42024.70971699967</v>
      </c>
      <c r="H40" s="467">
        <f t="shared" si="9"/>
        <v>42024.70971699967</v>
      </c>
      <c r="I40" s="52">
        <f t="shared" si="10"/>
        <v>0</v>
      </c>
      <c r="J40" s="52"/>
      <c r="K40" s="115"/>
      <c r="L40" s="54">
        <f t="shared" si="3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11"/>
        <v/>
      </c>
      <c r="C41" s="50">
        <f>IF(D11="","-",+C40+1)</f>
        <v>2049</v>
      </c>
      <c r="D41" s="466">
        <f>IF(F40+SUM(E$17:E40)=D$10,F40,D$10-SUM(E$17:E40))</f>
        <v>224326.85908937396</v>
      </c>
      <c r="E41" s="56">
        <f t="shared" si="6"/>
        <v>15650.71052631579</v>
      </c>
      <c r="F41" s="466">
        <f t="shared" si="7"/>
        <v>208676.14856305817</v>
      </c>
      <c r="G41" s="470">
        <f t="shared" si="8"/>
        <v>40246.687362546174</v>
      </c>
      <c r="H41" s="467">
        <f t="shared" si="9"/>
        <v>40246.687362546174</v>
      </c>
      <c r="I41" s="52">
        <f t="shared" si="10"/>
        <v>0</v>
      </c>
      <c r="J41" s="52"/>
      <c r="K41" s="115"/>
      <c r="L41" s="54">
        <f t="shared" si="3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11"/>
        <v/>
      </c>
      <c r="C42" s="50">
        <f>IF(D11="","-",+C41+1)</f>
        <v>2050</v>
      </c>
      <c r="D42" s="466">
        <f>IF(F41+SUM(E$17:E41)=D$10,F41,D$10-SUM(E$17:E41))</f>
        <v>208676.14856305817</v>
      </c>
      <c r="E42" s="56">
        <f t="shared" si="6"/>
        <v>15650.71052631579</v>
      </c>
      <c r="F42" s="466">
        <f t="shared" si="7"/>
        <v>193025.43803674239</v>
      </c>
      <c r="G42" s="470">
        <f t="shared" si="8"/>
        <v>38468.665008092692</v>
      </c>
      <c r="H42" s="467">
        <f t="shared" si="9"/>
        <v>38468.665008092692</v>
      </c>
      <c r="I42" s="52">
        <f t="shared" si="10"/>
        <v>0</v>
      </c>
      <c r="J42" s="52"/>
      <c r="K42" s="115"/>
      <c r="L42" s="54">
        <f t="shared" si="3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11"/>
        <v/>
      </c>
      <c r="C43" s="50">
        <f>IF(D11="","-",+C42+1)</f>
        <v>2051</v>
      </c>
      <c r="D43" s="466">
        <f>IF(F42+SUM(E$17:E42)=D$10,F42,D$10-SUM(E$17:E42))</f>
        <v>193025.43803674239</v>
      </c>
      <c r="E43" s="56">
        <f t="shared" si="6"/>
        <v>15650.71052631579</v>
      </c>
      <c r="F43" s="466">
        <f t="shared" si="7"/>
        <v>177374.7275104266</v>
      </c>
      <c r="G43" s="470">
        <f t="shared" si="8"/>
        <v>36690.642653639195</v>
      </c>
      <c r="H43" s="467">
        <f t="shared" si="9"/>
        <v>36690.642653639195</v>
      </c>
      <c r="I43" s="52">
        <f t="shared" si="10"/>
        <v>0</v>
      </c>
      <c r="J43" s="52"/>
      <c r="K43" s="115"/>
      <c r="L43" s="54">
        <f t="shared" si="3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11"/>
        <v/>
      </c>
      <c r="C44" s="50">
        <f>IF(D11="","-",+C43+1)</f>
        <v>2052</v>
      </c>
      <c r="D44" s="466">
        <f>IF(F43+SUM(E$17:E43)=D$10,F43,D$10-SUM(E$17:E43))</f>
        <v>177374.7275104266</v>
      </c>
      <c r="E44" s="56">
        <f t="shared" si="6"/>
        <v>15650.71052631579</v>
      </c>
      <c r="F44" s="466">
        <f t="shared" si="7"/>
        <v>161724.01698411081</v>
      </c>
      <c r="G44" s="470">
        <f t="shared" si="8"/>
        <v>34912.620299185706</v>
      </c>
      <c r="H44" s="467">
        <f t="shared" si="9"/>
        <v>34912.620299185706</v>
      </c>
      <c r="I44" s="52">
        <f t="shared" si="10"/>
        <v>0</v>
      </c>
      <c r="J44" s="52"/>
      <c r="K44" s="115"/>
      <c r="L44" s="54">
        <f t="shared" si="3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11"/>
        <v/>
      </c>
      <c r="C45" s="50">
        <f>IF(D11="","-",+C44+1)</f>
        <v>2053</v>
      </c>
      <c r="D45" s="466">
        <f>IF(F44+SUM(E$17:E44)=D$10,F44,D$10-SUM(E$17:E44))</f>
        <v>161724.01698411081</v>
      </c>
      <c r="E45" s="56">
        <f t="shared" si="6"/>
        <v>15650.71052631579</v>
      </c>
      <c r="F45" s="466">
        <f t="shared" si="7"/>
        <v>146073.30645779503</v>
      </c>
      <c r="G45" s="470">
        <f t="shared" si="8"/>
        <v>33134.597944732217</v>
      </c>
      <c r="H45" s="467">
        <f t="shared" si="9"/>
        <v>33134.597944732217</v>
      </c>
      <c r="I45" s="52">
        <f t="shared" si="10"/>
        <v>0</v>
      </c>
      <c r="J45" s="52"/>
      <c r="K45" s="115"/>
      <c r="L45" s="54">
        <f t="shared" si="3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11"/>
        <v/>
      </c>
      <c r="C46" s="50">
        <f>IF(D11="","-",+C45+1)</f>
        <v>2054</v>
      </c>
      <c r="D46" s="466">
        <f>IF(F45+SUM(E$17:E45)=D$10,F45,D$10-SUM(E$17:E45))</f>
        <v>146073.30645779503</v>
      </c>
      <c r="E46" s="56">
        <f t="shared" si="6"/>
        <v>15650.71052631579</v>
      </c>
      <c r="F46" s="466">
        <f t="shared" si="7"/>
        <v>130422.59593147924</v>
      </c>
      <c r="G46" s="470">
        <f t="shared" si="8"/>
        <v>31356.57559027872</v>
      </c>
      <c r="H46" s="467">
        <f t="shared" si="9"/>
        <v>31356.57559027872</v>
      </c>
      <c r="I46" s="52">
        <f t="shared" si="10"/>
        <v>0</v>
      </c>
      <c r="J46" s="52"/>
      <c r="K46" s="115"/>
      <c r="L46" s="54">
        <f t="shared" si="3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11"/>
        <v/>
      </c>
      <c r="C47" s="50">
        <f>IF(D11="","-",+C46+1)</f>
        <v>2055</v>
      </c>
      <c r="D47" s="466">
        <f>IF(F46+SUM(E$17:E46)=D$10,F46,D$10-SUM(E$17:E46))</f>
        <v>130422.59593147924</v>
      </c>
      <c r="E47" s="56">
        <f t="shared" si="6"/>
        <v>15650.71052631579</v>
      </c>
      <c r="F47" s="466">
        <f t="shared" si="7"/>
        <v>114771.88540516346</v>
      </c>
      <c r="G47" s="470">
        <f t="shared" si="8"/>
        <v>29578.553235825231</v>
      </c>
      <c r="H47" s="467">
        <f t="shared" si="9"/>
        <v>29578.553235825231</v>
      </c>
      <c r="I47" s="52">
        <f t="shared" si="10"/>
        <v>0</v>
      </c>
      <c r="J47" s="52"/>
      <c r="K47" s="115"/>
      <c r="L47" s="54">
        <f t="shared" si="3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11"/>
        <v/>
      </c>
      <c r="C48" s="50">
        <f>IF(D11="","-",+C47+1)</f>
        <v>2056</v>
      </c>
      <c r="D48" s="466">
        <f>IF(F47+SUM(E$17:E47)=D$10,F47,D$10-SUM(E$17:E47))</f>
        <v>114771.88540516346</v>
      </c>
      <c r="E48" s="56">
        <f t="shared" si="6"/>
        <v>15650.71052631579</v>
      </c>
      <c r="F48" s="466">
        <f t="shared" si="7"/>
        <v>99121.174878847669</v>
      </c>
      <c r="G48" s="470">
        <f t="shared" si="8"/>
        <v>27800.530881371742</v>
      </c>
      <c r="H48" s="467">
        <f t="shared" si="9"/>
        <v>27800.530881371742</v>
      </c>
      <c r="I48" s="52">
        <f t="shared" si="10"/>
        <v>0</v>
      </c>
      <c r="J48" s="52"/>
      <c r="K48" s="115"/>
      <c r="L48" s="54">
        <f t="shared" si="3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11"/>
        <v/>
      </c>
      <c r="C49" s="50">
        <f>IF(D11="","-",+C48+1)</f>
        <v>2057</v>
      </c>
      <c r="D49" s="466">
        <f>IF(F48+SUM(E$17:E48)=D$10,F48,D$10-SUM(E$17:E48))</f>
        <v>99121.174878847669</v>
      </c>
      <c r="E49" s="56">
        <f t="shared" si="6"/>
        <v>15650.71052631579</v>
      </c>
      <c r="F49" s="466">
        <f t="shared" si="7"/>
        <v>83470.464352531882</v>
      </c>
      <c r="G49" s="470">
        <f t="shared" si="8"/>
        <v>26022.508526918249</v>
      </c>
      <c r="H49" s="467">
        <f t="shared" si="9"/>
        <v>26022.508526918249</v>
      </c>
      <c r="I49" s="52">
        <f t="shared" si="10"/>
        <v>0</v>
      </c>
      <c r="J49" s="52"/>
      <c r="K49" s="115"/>
      <c r="L49" s="54">
        <f t="shared" si="3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11"/>
        <v/>
      </c>
      <c r="C50" s="50">
        <f>IF(D11="","-",+C49+1)</f>
        <v>2058</v>
      </c>
      <c r="D50" s="466">
        <f>IF(F49+SUM(E$17:E49)=D$10,F49,D$10-SUM(E$17:E49))</f>
        <v>83470.464352531882</v>
      </c>
      <c r="E50" s="56">
        <f t="shared" si="6"/>
        <v>15650.71052631579</v>
      </c>
      <c r="F50" s="466">
        <f t="shared" si="7"/>
        <v>67819.753826216096</v>
      </c>
      <c r="G50" s="470">
        <f t="shared" si="8"/>
        <v>24244.486172464756</v>
      </c>
      <c r="H50" s="467">
        <f t="shared" si="9"/>
        <v>24244.486172464756</v>
      </c>
      <c r="I50" s="52">
        <f t="shared" si="10"/>
        <v>0</v>
      </c>
      <c r="J50" s="52"/>
      <c r="K50" s="115"/>
      <c r="L50" s="54">
        <f t="shared" si="3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11"/>
        <v/>
      </c>
      <c r="C51" s="50">
        <f>IF(D11="","-",+C50+1)</f>
        <v>2059</v>
      </c>
      <c r="D51" s="466">
        <f>IF(F50+SUM(E$17:E50)=D$10,F50,D$10-SUM(E$17:E50))</f>
        <v>67819.753826216096</v>
      </c>
      <c r="E51" s="56">
        <f t="shared" si="6"/>
        <v>15650.71052631579</v>
      </c>
      <c r="F51" s="466">
        <f t="shared" si="7"/>
        <v>52169.04329990031</v>
      </c>
      <c r="G51" s="470">
        <f t="shared" si="8"/>
        <v>22466.463818011267</v>
      </c>
      <c r="H51" s="467">
        <f t="shared" si="9"/>
        <v>22466.463818011267</v>
      </c>
      <c r="I51" s="52">
        <f t="shared" si="10"/>
        <v>0</v>
      </c>
      <c r="J51" s="52"/>
      <c r="K51" s="115"/>
      <c r="L51" s="54">
        <f t="shared" si="3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11"/>
        <v/>
      </c>
      <c r="C52" s="50">
        <f>IF(D11="","-",+C51+1)</f>
        <v>2060</v>
      </c>
      <c r="D52" s="466">
        <f>IF(F51+SUM(E$17:E51)=D$10,F51,D$10-SUM(E$17:E51))</f>
        <v>52169.04329990031</v>
      </c>
      <c r="E52" s="56">
        <f t="shared" si="6"/>
        <v>15650.71052631579</v>
      </c>
      <c r="F52" s="466">
        <f t="shared" si="7"/>
        <v>36518.332773584523</v>
      </c>
      <c r="G52" s="470">
        <f t="shared" si="8"/>
        <v>20688.441463557778</v>
      </c>
      <c r="H52" s="467">
        <f t="shared" si="9"/>
        <v>20688.441463557778</v>
      </c>
      <c r="I52" s="52">
        <f t="shared" si="10"/>
        <v>0</v>
      </c>
      <c r="J52" s="52"/>
      <c r="K52" s="115"/>
      <c r="L52" s="54">
        <f t="shared" si="3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11"/>
        <v/>
      </c>
      <c r="C53" s="50">
        <f>IF(D11="","-",+C52+1)</f>
        <v>2061</v>
      </c>
      <c r="D53" s="466">
        <f>IF(F52+SUM(E$17:E52)=D$10,F52,D$10-SUM(E$17:E52))</f>
        <v>36518.332773584523</v>
      </c>
      <c r="E53" s="56">
        <f t="shared" si="6"/>
        <v>15650.71052631579</v>
      </c>
      <c r="F53" s="466">
        <f t="shared" si="7"/>
        <v>20867.622247268733</v>
      </c>
      <c r="G53" s="470">
        <f t="shared" si="8"/>
        <v>18910.419109104285</v>
      </c>
      <c r="H53" s="467">
        <f t="shared" si="9"/>
        <v>18910.419109104285</v>
      </c>
      <c r="I53" s="52">
        <f t="shared" si="10"/>
        <v>0</v>
      </c>
      <c r="J53" s="52"/>
      <c r="K53" s="115"/>
      <c r="L53" s="54">
        <f t="shared" si="3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11"/>
        <v/>
      </c>
      <c r="C54" s="50">
        <f>IF(D11="","-",+C53+1)</f>
        <v>2062</v>
      </c>
      <c r="D54" s="466">
        <f>IF(F53+SUM(E$17:E53)=D$10,F53,D$10-SUM(E$17:E53))</f>
        <v>20867.622247268733</v>
      </c>
      <c r="E54" s="56">
        <f t="shared" si="6"/>
        <v>15650.71052631579</v>
      </c>
      <c r="F54" s="466">
        <f t="shared" si="7"/>
        <v>5216.9117209529431</v>
      </c>
      <c r="G54" s="470">
        <f t="shared" si="8"/>
        <v>17132.396754650796</v>
      </c>
      <c r="H54" s="467">
        <f t="shared" si="9"/>
        <v>17132.396754650796</v>
      </c>
      <c r="I54" s="52">
        <f t="shared" si="10"/>
        <v>0</v>
      </c>
      <c r="J54" s="52"/>
      <c r="K54" s="115"/>
      <c r="L54" s="54">
        <f t="shared" si="3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11"/>
        <v/>
      </c>
      <c r="C55" s="50">
        <f>IF(D11="","-",+C54+1)</f>
        <v>2063</v>
      </c>
      <c r="D55" s="466">
        <f>IF(F54+SUM(E$17:E54)=D$10,F54,D$10-SUM(E$17:E54))</f>
        <v>5216.9117209529431</v>
      </c>
      <c r="E55" s="56">
        <f t="shared" si="6"/>
        <v>5216.9117209529431</v>
      </c>
      <c r="F55" s="466">
        <f t="shared" si="7"/>
        <v>0</v>
      </c>
      <c r="G55" s="470">
        <f t="shared" si="8"/>
        <v>5513.2492465070727</v>
      </c>
      <c r="H55" s="467">
        <f t="shared" si="9"/>
        <v>5513.2492465070727</v>
      </c>
      <c r="I55" s="52">
        <f t="shared" si="10"/>
        <v>0</v>
      </c>
      <c r="J55" s="52"/>
      <c r="K55" s="115"/>
      <c r="L55" s="54">
        <f t="shared" si="3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11"/>
        <v/>
      </c>
      <c r="C56" s="50">
        <f>IF(D11="","-",+C55+1)</f>
        <v>2064</v>
      </c>
      <c r="D56" s="466">
        <f>IF(F55+SUM(E$17:E55)=D$10,F55,D$10-SUM(E$17:E55))</f>
        <v>0</v>
      </c>
      <c r="E56" s="56">
        <f t="shared" si="6"/>
        <v>0</v>
      </c>
      <c r="F56" s="466">
        <f t="shared" si="7"/>
        <v>0</v>
      </c>
      <c r="G56" s="470">
        <f t="shared" si="8"/>
        <v>0</v>
      </c>
      <c r="H56" s="467">
        <f t="shared" si="9"/>
        <v>0</v>
      </c>
      <c r="I56" s="52">
        <f t="shared" si="10"/>
        <v>0</v>
      </c>
      <c r="J56" s="52"/>
      <c r="K56" s="115"/>
      <c r="L56" s="54">
        <f t="shared" si="3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11"/>
        <v/>
      </c>
      <c r="C57" s="50">
        <f>IF(D11="","-",+C56+1)</f>
        <v>2065</v>
      </c>
      <c r="D57" s="466">
        <f>IF(F56+SUM(E$17:E56)=D$10,F56,D$10-SUM(E$17:E56))</f>
        <v>0</v>
      </c>
      <c r="E57" s="56">
        <f t="shared" si="6"/>
        <v>0</v>
      </c>
      <c r="F57" s="466">
        <f t="shared" si="7"/>
        <v>0</v>
      </c>
      <c r="G57" s="470">
        <f t="shared" si="8"/>
        <v>0</v>
      </c>
      <c r="H57" s="467">
        <f t="shared" si="9"/>
        <v>0</v>
      </c>
      <c r="I57" s="52">
        <f t="shared" si="10"/>
        <v>0</v>
      </c>
      <c r="J57" s="52"/>
      <c r="K57" s="115"/>
      <c r="L57" s="54">
        <f t="shared" si="3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11"/>
        <v/>
      </c>
      <c r="C58" s="50">
        <f>IF(D11="","-",+C57+1)</f>
        <v>2066</v>
      </c>
      <c r="D58" s="466">
        <f>IF(F57+SUM(E$17:E57)=D$10,F57,D$10-SUM(E$17:E57))</f>
        <v>0</v>
      </c>
      <c r="E58" s="56">
        <f t="shared" si="6"/>
        <v>0</v>
      </c>
      <c r="F58" s="466">
        <f t="shared" si="7"/>
        <v>0</v>
      </c>
      <c r="G58" s="470">
        <f t="shared" si="8"/>
        <v>0</v>
      </c>
      <c r="H58" s="467">
        <f t="shared" si="9"/>
        <v>0</v>
      </c>
      <c r="I58" s="52">
        <f t="shared" si="10"/>
        <v>0</v>
      </c>
      <c r="J58" s="52"/>
      <c r="K58" s="115"/>
      <c r="L58" s="54">
        <f t="shared" si="3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11"/>
        <v/>
      </c>
      <c r="C59" s="50">
        <f>IF(D11="","-",+C58+1)</f>
        <v>2067</v>
      </c>
      <c r="D59" s="466">
        <f>IF(F58+SUM(E$17:E58)=D$10,F58,D$10-SUM(E$17:E58))</f>
        <v>0</v>
      </c>
      <c r="E59" s="56">
        <f t="shared" si="6"/>
        <v>0</v>
      </c>
      <c r="F59" s="466">
        <f t="shared" si="7"/>
        <v>0</v>
      </c>
      <c r="G59" s="470">
        <f t="shared" si="8"/>
        <v>0</v>
      </c>
      <c r="H59" s="467">
        <f t="shared" si="9"/>
        <v>0</v>
      </c>
      <c r="I59" s="52">
        <f t="shared" si="10"/>
        <v>0</v>
      </c>
      <c r="J59" s="52"/>
      <c r="K59" s="115"/>
      <c r="L59" s="54">
        <f t="shared" si="3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11"/>
        <v/>
      </c>
      <c r="C60" s="50">
        <f>IF(D11="","-",+C59+1)</f>
        <v>2068</v>
      </c>
      <c r="D60" s="466">
        <f>IF(F59+SUM(E$17:E59)=D$10,F59,D$10-SUM(E$17:E59))</f>
        <v>0</v>
      </c>
      <c r="E60" s="56">
        <f t="shared" si="6"/>
        <v>0</v>
      </c>
      <c r="F60" s="466">
        <f t="shared" si="7"/>
        <v>0</v>
      </c>
      <c r="G60" s="470">
        <f t="shared" si="8"/>
        <v>0</v>
      </c>
      <c r="H60" s="467">
        <f t="shared" si="9"/>
        <v>0</v>
      </c>
      <c r="I60" s="52">
        <f t="shared" si="10"/>
        <v>0</v>
      </c>
      <c r="J60" s="52"/>
      <c r="K60" s="115"/>
      <c r="L60" s="54">
        <f t="shared" si="3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11"/>
        <v/>
      </c>
      <c r="C61" s="50">
        <f>IF(D11="","-",+C60+1)</f>
        <v>2069</v>
      </c>
      <c r="D61" s="466">
        <f>IF(F60+SUM(E$17:E60)=D$10,F60,D$10-SUM(E$17:E60))</f>
        <v>0</v>
      </c>
      <c r="E61" s="56">
        <f t="shared" si="6"/>
        <v>0</v>
      </c>
      <c r="F61" s="466">
        <f t="shared" si="7"/>
        <v>0</v>
      </c>
      <c r="G61" s="470">
        <f t="shared" si="8"/>
        <v>0</v>
      </c>
      <c r="H61" s="467">
        <f t="shared" si="9"/>
        <v>0</v>
      </c>
      <c r="I61" s="52">
        <f t="shared" si="10"/>
        <v>0</v>
      </c>
      <c r="J61" s="52"/>
      <c r="K61" s="115"/>
      <c r="L61" s="54">
        <f t="shared" si="3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11"/>
        <v/>
      </c>
      <c r="C62" s="50">
        <f>IF(D11="","-",+C61+1)</f>
        <v>2070</v>
      </c>
      <c r="D62" s="466">
        <f>IF(F61+SUM(E$17:E61)=D$10,F61,D$10-SUM(E$17:E61))</f>
        <v>0</v>
      </c>
      <c r="E62" s="56">
        <f t="shared" si="6"/>
        <v>0</v>
      </c>
      <c r="F62" s="466">
        <f t="shared" si="7"/>
        <v>0</v>
      </c>
      <c r="G62" s="470">
        <f t="shared" si="8"/>
        <v>0</v>
      </c>
      <c r="H62" s="467">
        <f t="shared" si="9"/>
        <v>0</v>
      </c>
      <c r="I62" s="52">
        <f t="shared" si="10"/>
        <v>0</v>
      </c>
      <c r="J62" s="52"/>
      <c r="K62" s="115"/>
      <c r="L62" s="54">
        <f t="shared" si="3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11"/>
        <v/>
      </c>
      <c r="C63" s="50">
        <f>IF(D11="","-",+C62+1)</f>
        <v>2071</v>
      </c>
      <c r="D63" s="466">
        <f>IF(F62+SUM(E$17:E62)=D$10,F62,D$10-SUM(E$17:E62))</f>
        <v>0</v>
      </c>
      <c r="E63" s="56">
        <f t="shared" si="6"/>
        <v>0</v>
      </c>
      <c r="F63" s="466">
        <f t="shared" si="7"/>
        <v>0</v>
      </c>
      <c r="G63" s="470">
        <f t="shared" si="8"/>
        <v>0</v>
      </c>
      <c r="H63" s="467">
        <f t="shared" si="9"/>
        <v>0</v>
      </c>
      <c r="I63" s="52">
        <f t="shared" si="10"/>
        <v>0</v>
      </c>
      <c r="J63" s="52"/>
      <c r="K63" s="115"/>
      <c r="L63" s="54">
        <f t="shared" si="3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11"/>
        <v/>
      </c>
      <c r="C64" s="50">
        <f>IF(D11="","-",+C63+1)</f>
        <v>2072</v>
      </c>
      <c r="D64" s="466">
        <f>IF(F63+SUM(E$17:E63)=D$10,F63,D$10-SUM(E$17:E63))</f>
        <v>0</v>
      </c>
      <c r="E64" s="56">
        <f t="shared" si="6"/>
        <v>0</v>
      </c>
      <c r="F64" s="466">
        <f t="shared" si="7"/>
        <v>0</v>
      </c>
      <c r="G64" s="470">
        <f t="shared" si="8"/>
        <v>0</v>
      </c>
      <c r="H64" s="467">
        <f t="shared" si="9"/>
        <v>0</v>
      </c>
      <c r="I64" s="52">
        <f t="shared" si="10"/>
        <v>0</v>
      </c>
      <c r="J64" s="52"/>
      <c r="K64" s="115"/>
      <c r="L64" s="54">
        <f t="shared" si="3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11"/>
        <v/>
      </c>
      <c r="C65" s="50">
        <f>IF(D11="","-",+C64+1)</f>
        <v>2073</v>
      </c>
      <c r="D65" s="466">
        <f>IF(F64+SUM(E$17:E64)=D$10,F64,D$10-SUM(E$17:E64))</f>
        <v>0</v>
      </c>
      <c r="E65" s="56">
        <f t="shared" si="6"/>
        <v>0</v>
      </c>
      <c r="F65" s="466">
        <f t="shared" si="7"/>
        <v>0</v>
      </c>
      <c r="G65" s="470">
        <f t="shared" si="8"/>
        <v>0</v>
      </c>
      <c r="H65" s="467">
        <f t="shared" si="9"/>
        <v>0</v>
      </c>
      <c r="I65" s="52">
        <f t="shared" si="10"/>
        <v>0</v>
      </c>
      <c r="J65" s="52"/>
      <c r="K65" s="115"/>
      <c r="L65" s="54">
        <f t="shared" si="3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11"/>
        <v/>
      </c>
      <c r="C66" s="50">
        <f>IF(D11="","-",+C65+1)</f>
        <v>2074</v>
      </c>
      <c r="D66" s="466">
        <f>IF(F65+SUM(E$17:E65)=D$10,F65,D$10-SUM(E$17:E65))</f>
        <v>0</v>
      </c>
      <c r="E66" s="56">
        <f t="shared" si="6"/>
        <v>0</v>
      </c>
      <c r="F66" s="466">
        <f t="shared" si="7"/>
        <v>0</v>
      </c>
      <c r="G66" s="470">
        <f t="shared" si="8"/>
        <v>0</v>
      </c>
      <c r="H66" s="467">
        <f t="shared" si="9"/>
        <v>0</v>
      </c>
      <c r="I66" s="52">
        <f t="shared" si="10"/>
        <v>0</v>
      </c>
      <c r="J66" s="52"/>
      <c r="K66" s="115"/>
      <c r="L66" s="54">
        <f t="shared" si="3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11"/>
        <v/>
      </c>
      <c r="C67" s="50">
        <f>IF(D11="","-",+C66+1)</f>
        <v>2075</v>
      </c>
      <c r="D67" s="466">
        <f>IF(F66+SUM(E$17:E66)=D$10,F66,D$10-SUM(E$17:E66))</f>
        <v>0</v>
      </c>
      <c r="E67" s="56">
        <f t="shared" si="6"/>
        <v>0</v>
      </c>
      <c r="F67" s="466">
        <f t="shared" si="7"/>
        <v>0</v>
      </c>
      <c r="G67" s="470">
        <f t="shared" si="8"/>
        <v>0</v>
      </c>
      <c r="H67" s="467">
        <f t="shared" si="9"/>
        <v>0</v>
      </c>
      <c r="I67" s="52">
        <f t="shared" si="10"/>
        <v>0</v>
      </c>
      <c r="J67" s="52"/>
      <c r="K67" s="115"/>
      <c r="L67" s="54">
        <f t="shared" si="3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11"/>
        <v/>
      </c>
      <c r="C68" s="50">
        <f>IF(D11="","-",+C67+1)</f>
        <v>2076</v>
      </c>
      <c r="D68" s="466">
        <f>IF(F67+SUM(E$17:E67)=D$10,F67,D$10-SUM(E$17:E67))</f>
        <v>0</v>
      </c>
      <c r="E68" s="56">
        <f t="shared" si="6"/>
        <v>0</v>
      </c>
      <c r="F68" s="466">
        <f t="shared" si="7"/>
        <v>0</v>
      </c>
      <c r="G68" s="470">
        <f t="shared" si="8"/>
        <v>0</v>
      </c>
      <c r="H68" s="467">
        <f t="shared" si="9"/>
        <v>0</v>
      </c>
      <c r="I68" s="52">
        <f t="shared" si="10"/>
        <v>0</v>
      </c>
      <c r="J68" s="52"/>
      <c r="K68" s="115"/>
      <c r="L68" s="54">
        <f t="shared" si="3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11"/>
        <v/>
      </c>
      <c r="C69" s="50">
        <f>IF(D11="","-",+C68+1)</f>
        <v>2077</v>
      </c>
      <c r="D69" s="466">
        <f>IF(F68+SUM(E$17:E68)=D$10,F68,D$10-SUM(E$17:E68))</f>
        <v>0</v>
      </c>
      <c r="E69" s="56">
        <f t="shared" si="6"/>
        <v>0</v>
      </c>
      <c r="F69" s="466">
        <f t="shared" si="7"/>
        <v>0</v>
      </c>
      <c r="G69" s="470">
        <f t="shared" si="8"/>
        <v>0</v>
      </c>
      <c r="H69" s="467">
        <f t="shared" si="9"/>
        <v>0</v>
      </c>
      <c r="I69" s="52">
        <f t="shared" si="10"/>
        <v>0</v>
      </c>
      <c r="J69" s="52"/>
      <c r="K69" s="115"/>
      <c r="L69" s="54">
        <f t="shared" si="3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11"/>
        <v/>
      </c>
      <c r="C70" s="50">
        <f>IF(D11="","-",+C69+1)</f>
        <v>2078</v>
      </c>
      <c r="D70" s="466">
        <f>IF(F69+SUM(E$17:E69)=D$10,F69,D$10-SUM(E$17:E69))</f>
        <v>0</v>
      </c>
      <c r="E70" s="56">
        <f t="shared" si="6"/>
        <v>0</v>
      </c>
      <c r="F70" s="466">
        <f t="shared" si="7"/>
        <v>0</v>
      </c>
      <c r="G70" s="470">
        <f t="shared" si="8"/>
        <v>0</v>
      </c>
      <c r="H70" s="467">
        <f t="shared" si="9"/>
        <v>0</v>
      </c>
      <c r="I70" s="52">
        <f t="shared" si="10"/>
        <v>0</v>
      </c>
      <c r="J70" s="52"/>
      <c r="K70" s="115"/>
      <c r="L70" s="54">
        <f t="shared" si="3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11"/>
        <v/>
      </c>
      <c r="C71" s="50">
        <f>IF(D11="","-",+C70+1)</f>
        <v>2079</v>
      </c>
      <c r="D71" s="466">
        <f>IF(F70+SUM(E$17:E70)=D$10,F70,D$10-SUM(E$17:E70))</f>
        <v>0</v>
      </c>
      <c r="E71" s="56">
        <f t="shared" si="6"/>
        <v>0</v>
      </c>
      <c r="F71" s="466">
        <f t="shared" si="7"/>
        <v>0</v>
      </c>
      <c r="G71" s="470">
        <f t="shared" si="8"/>
        <v>0</v>
      </c>
      <c r="H71" s="467">
        <f t="shared" si="9"/>
        <v>0</v>
      </c>
      <c r="I71" s="52">
        <f t="shared" si="10"/>
        <v>0</v>
      </c>
      <c r="J71" s="52"/>
      <c r="K71" s="115"/>
      <c r="L71" s="54">
        <f t="shared" si="3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11"/>
        <v/>
      </c>
      <c r="C72" s="58">
        <f>IF(D11="","-",+C71+1)</f>
        <v>2080</v>
      </c>
      <c r="D72" s="472">
        <f>IF(F71+SUM(E$17:E71)=D$10,F71,D$10-SUM(E$17:E71))</f>
        <v>0</v>
      </c>
      <c r="E72" s="60">
        <f>IF(+I$14&lt;F71,I$14,D72)</f>
        <v>0</v>
      </c>
      <c r="F72" s="472">
        <f>+D72-E72</f>
        <v>0</v>
      </c>
      <c r="G72" s="520">
        <f>(D72+F72)/2*I$12+E72</f>
        <v>0</v>
      </c>
      <c r="H72" s="519">
        <f>+(D72+F72)/2*I$13+E72</f>
        <v>0</v>
      </c>
      <c r="I72" s="61">
        <f>H72-G72</f>
        <v>0</v>
      </c>
      <c r="J72" s="52"/>
      <c r="K72" s="116"/>
      <c r="L72" s="62">
        <f t="shared" si="3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>
      <c r="C73" s="12" t="s">
        <v>77</v>
      </c>
      <c r="D73" s="14"/>
      <c r="E73" s="14">
        <f>SUM(E17:E72)</f>
        <v>594727.00000000012</v>
      </c>
      <c r="F73" s="14"/>
      <c r="G73" s="14">
        <f>SUM(G17:G72)</f>
        <v>1867198.3405336412</v>
      </c>
      <c r="H73" s="14">
        <f>SUM(H17:H72)</f>
        <v>1867198.3405336412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34 of 36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5.75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2025</v>
      </c>
      <c r="M86" s="102" t="s">
        <v>8</v>
      </c>
      <c r="N86" s="103" t="s">
        <v>153</v>
      </c>
      <c r="O86" s="104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43623.523299029308</v>
      </c>
      <c r="N87" s="66">
        <f>IF(J92&lt;D11,0,VLOOKUP(J92,C17:O72,11))</f>
        <v>43623.523299029308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56001.111142180889</v>
      </c>
      <c r="N88" s="68">
        <f>IF(J92&lt;D11,0,VLOOKUP(J92,C99:P154,7))</f>
        <v>56001.111142180889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Sooner - Wekiwa 345 kV Terminal Upgrades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12377.587843151581</v>
      </c>
      <c r="N89" s="71">
        <f>+N88-N87</f>
        <v>12377.587843151581</v>
      </c>
      <c r="O89" s="72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TP2019146</v>
      </c>
      <c r="E91" s="74" t="str">
        <f>E9</f>
        <v xml:space="preserve">  SPP Project ID = 81561</v>
      </c>
      <c r="F91" s="74"/>
      <c r="G91" s="74"/>
      <c r="H91" s="74"/>
      <c r="I91" s="74"/>
      <c r="J91" s="74"/>
    </row>
    <row r="92" spans="1:16">
      <c r="C92" s="128" t="s">
        <v>226</v>
      </c>
      <c r="D92" s="85">
        <v>936308.35</v>
      </c>
      <c r="E92" s="1" t="s">
        <v>94</v>
      </c>
      <c r="H92" s="2"/>
      <c r="I92" s="2"/>
      <c r="J92" s="36">
        <f>+'PSO.WS.G.BPU.ATRR.True-up'!M16</f>
        <v>2025</v>
      </c>
      <c r="K92" s="34"/>
      <c r="L92" s="14" t="s">
        <v>95</v>
      </c>
      <c r="P92" s="1"/>
    </row>
    <row r="93" spans="1:16">
      <c r="C93" s="37" t="s">
        <v>53</v>
      </c>
      <c r="D93" s="86">
        <v>2025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85">
        <v>12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14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25306</v>
      </c>
      <c r="K96" s="14"/>
      <c r="L96" s="14"/>
      <c r="M96" s="14"/>
      <c r="N96" s="14"/>
      <c r="O96" s="14"/>
      <c r="P96" s="1"/>
    </row>
    <row r="97" spans="1:16" ht="38.25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281</v>
      </c>
      <c r="I97" s="118" t="s">
        <v>282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>
      <c r="C99" s="50">
        <f>IF(D93= "","-",D93)</f>
        <v>2025</v>
      </c>
      <c r="D99" s="12">
        <v>0</v>
      </c>
      <c r="E99" s="57">
        <f>IF(OR(D11=I10,D92&lt;100000),0,J$96/12*(12-D94))</f>
        <v>0</v>
      </c>
      <c r="F99" s="55">
        <f>IF(D93=C99,+D92-E99,+D99-E99)</f>
        <v>936308.35</v>
      </c>
      <c r="G99" s="81">
        <f>+(F99+D99)/2</f>
        <v>468154.17499999999</v>
      </c>
      <c r="H99" s="81">
        <f>+J$94*G99+E99</f>
        <v>56001.111142180889</v>
      </c>
      <c r="I99" s="81">
        <f>+J$95*G99+E99</f>
        <v>56001.111142180889</v>
      </c>
      <c r="J99" s="54">
        <f>+I99-H99</f>
        <v>0</v>
      </c>
      <c r="K99" s="54"/>
      <c r="L99" s="114"/>
      <c r="M99" s="53">
        <f t="shared" ref="M99:M130" si="12">IF(L99&lt;&gt;0,+H99-L99,0)</f>
        <v>0</v>
      </c>
      <c r="N99" s="114"/>
      <c r="O99" s="53">
        <f t="shared" ref="O99:O130" si="13">IF(N99&lt;&gt;0,+I99-N99,0)</f>
        <v>0</v>
      </c>
      <c r="P99" s="53">
        <f t="shared" ref="P99:P130" si="14">+O99-M99</f>
        <v>0</v>
      </c>
    </row>
    <row r="100" spans="1:16">
      <c r="B100" s="7" t="str">
        <f>IF(D100=F99,"","IU")</f>
        <v/>
      </c>
      <c r="C100" s="50">
        <f>IF(D93="","-",+C99+1)</f>
        <v>2026</v>
      </c>
      <c r="D100" s="12">
        <f>IF(F99+SUM(E$99:E99)=D$92,F99,D$92-SUM(E$99:E99))</f>
        <v>936308.35</v>
      </c>
      <c r="E100" s="56">
        <f>IF(+J$96&lt;F99,J$96,D100)</f>
        <v>25306</v>
      </c>
      <c r="F100" s="55">
        <f>+D100-E100</f>
        <v>911002.35</v>
      </c>
      <c r="G100" s="55">
        <f>+(F100+D100)/2</f>
        <v>923655.35</v>
      </c>
      <c r="H100" s="113">
        <f t="shared" ref="H100:H154" si="15">+J$94*G100+E100</f>
        <v>135794.65667473752</v>
      </c>
      <c r="I100" s="122">
        <f t="shared" ref="I100:I154" si="16">+J$95*G100+E100</f>
        <v>135794.65667473752</v>
      </c>
      <c r="J100" s="54">
        <f t="shared" ref="J100:J130" si="17">+I100-H100</f>
        <v>0</v>
      </c>
      <c r="K100" s="54"/>
      <c r="L100" s="115"/>
      <c r="M100" s="54">
        <f t="shared" si="12"/>
        <v>0</v>
      </c>
      <c r="N100" s="115"/>
      <c r="O100" s="54">
        <f t="shared" si="13"/>
        <v>0</v>
      </c>
      <c r="P100" s="54">
        <f t="shared" si="14"/>
        <v>0</v>
      </c>
    </row>
    <row r="101" spans="1:16">
      <c r="B101" s="7" t="str">
        <f t="shared" ref="B101:B154" si="18">IF(D101=F100,"","IU")</f>
        <v/>
      </c>
      <c r="C101" s="50">
        <f>IF(D93="","-",+C100+1)</f>
        <v>2027</v>
      </c>
      <c r="D101" s="12">
        <f>IF(F100+SUM(E$99:E100)=D$92,F100,D$92-SUM(E$99:E100))</f>
        <v>911002.35</v>
      </c>
      <c r="E101" s="56">
        <f t="shared" ref="E101:E154" si="19">IF(+J$96&lt;F100,J$96,D101)</f>
        <v>25306</v>
      </c>
      <c r="F101" s="55">
        <f t="shared" ref="F101:F154" si="20">+D101-E101</f>
        <v>885696.35</v>
      </c>
      <c r="G101" s="55">
        <f t="shared" ref="G101:G154" si="21">+(F101+D101)/2</f>
        <v>898349.35</v>
      </c>
      <c r="H101" s="113">
        <f t="shared" si="15"/>
        <v>132767.52545548903</v>
      </c>
      <c r="I101" s="122">
        <f t="shared" si="16"/>
        <v>132767.52545548903</v>
      </c>
      <c r="J101" s="54">
        <f t="shared" si="17"/>
        <v>0</v>
      </c>
      <c r="K101" s="54"/>
      <c r="L101" s="115"/>
      <c r="M101" s="54">
        <f t="shared" si="12"/>
        <v>0</v>
      </c>
      <c r="N101" s="115"/>
      <c r="O101" s="54">
        <f t="shared" si="13"/>
        <v>0</v>
      </c>
      <c r="P101" s="54">
        <f t="shared" si="14"/>
        <v>0</v>
      </c>
    </row>
    <row r="102" spans="1:16">
      <c r="B102" s="7" t="str">
        <f t="shared" si="18"/>
        <v/>
      </c>
      <c r="C102" s="50">
        <f>IF(D93="","-",+C101+1)</f>
        <v>2028</v>
      </c>
      <c r="D102" s="12">
        <f>IF(F101+SUM(E$99:E101)=D$92,F101,D$92-SUM(E$99:E101))</f>
        <v>885696.35</v>
      </c>
      <c r="E102" s="56">
        <f t="shared" si="19"/>
        <v>25306</v>
      </c>
      <c r="F102" s="55">
        <f t="shared" si="20"/>
        <v>860390.35</v>
      </c>
      <c r="G102" s="55">
        <f t="shared" si="21"/>
        <v>873043.35</v>
      </c>
      <c r="H102" s="113">
        <f t="shared" si="15"/>
        <v>129740.39423624051</v>
      </c>
      <c r="I102" s="122">
        <f t="shared" si="16"/>
        <v>129740.39423624051</v>
      </c>
      <c r="J102" s="54">
        <f t="shared" si="17"/>
        <v>0</v>
      </c>
      <c r="K102" s="54"/>
      <c r="L102" s="115"/>
      <c r="M102" s="54">
        <f t="shared" si="12"/>
        <v>0</v>
      </c>
      <c r="N102" s="115"/>
      <c r="O102" s="54">
        <f t="shared" si="13"/>
        <v>0</v>
      </c>
      <c r="P102" s="54">
        <f t="shared" si="14"/>
        <v>0</v>
      </c>
    </row>
    <row r="103" spans="1:16">
      <c r="B103" s="7" t="str">
        <f t="shared" si="18"/>
        <v/>
      </c>
      <c r="C103" s="50">
        <f>IF(D93="","-",+C102+1)</f>
        <v>2029</v>
      </c>
      <c r="D103" s="12">
        <f>IF(F102+SUM(E$99:E102)=D$92,F102,D$92-SUM(E$99:E102))</f>
        <v>860390.35</v>
      </c>
      <c r="E103" s="56">
        <f t="shared" si="19"/>
        <v>25306</v>
      </c>
      <c r="F103" s="55">
        <f t="shared" si="20"/>
        <v>835084.35</v>
      </c>
      <c r="G103" s="55">
        <f t="shared" si="21"/>
        <v>847737.35</v>
      </c>
      <c r="H103" s="113">
        <f t="shared" si="15"/>
        <v>126713.263016992</v>
      </c>
      <c r="I103" s="122">
        <f t="shared" si="16"/>
        <v>126713.263016992</v>
      </c>
      <c r="J103" s="54">
        <f t="shared" si="17"/>
        <v>0</v>
      </c>
      <c r="K103" s="54"/>
      <c r="L103" s="115"/>
      <c r="M103" s="54">
        <f t="shared" si="12"/>
        <v>0</v>
      </c>
      <c r="N103" s="115"/>
      <c r="O103" s="54">
        <f t="shared" si="13"/>
        <v>0</v>
      </c>
      <c r="P103" s="54">
        <f t="shared" si="14"/>
        <v>0</v>
      </c>
    </row>
    <row r="104" spans="1:16">
      <c r="B104" s="7" t="str">
        <f t="shared" si="18"/>
        <v/>
      </c>
      <c r="C104" s="50">
        <f>IF(D93="","-",+C103+1)</f>
        <v>2030</v>
      </c>
      <c r="D104" s="12">
        <f>IF(F103+SUM(E$99:E103)=D$92,F103,D$92-SUM(E$99:E103))</f>
        <v>835084.35</v>
      </c>
      <c r="E104" s="56">
        <f t="shared" si="19"/>
        <v>25306</v>
      </c>
      <c r="F104" s="55">
        <f t="shared" si="20"/>
        <v>809778.35</v>
      </c>
      <c r="G104" s="55">
        <f t="shared" si="21"/>
        <v>822431.35</v>
      </c>
      <c r="H104" s="113">
        <f t="shared" si="15"/>
        <v>123686.1317977435</v>
      </c>
      <c r="I104" s="122">
        <f t="shared" si="16"/>
        <v>123686.1317977435</v>
      </c>
      <c r="J104" s="54">
        <f t="shared" si="17"/>
        <v>0</v>
      </c>
      <c r="K104" s="54"/>
      <c r="L104" s="115"/>
      <c r="M104" s="54">
        <f t="shared" si="12"/>
        <v>0</v>
      </c>
      <c r="N104" s="115"/>
      <c r="O104" s="54">
        <f t="shared" si="13"/>
        <v>0</v>
      </c>
      <c r="P104" s="54">
        <f t="shared" si="14"/>
        <v>0</v>
      </c>
    </row>
    <row r="105" spans="1:16">
      <c r="B105" s="7" t="str">
        <f t="shared" si="18"/>
        <v/>
      </c>
      <c r="C105" s="50">
        <f>IF(D93="","-",+C104+1)</f>
        <v>2031</v>
      </c>
      <c r="D105" s="12">
        <f>IF(F104+SUM(E$99:E104)=D$92,F104,D$92-SUM(E$99:E104))</f>
        <v>809778.35</v>
      </c>
      <c r="E105" s="56">
        <f t="shared" si="19"/>
        <v>25306</v>
      </c>
      <c r="F105" s="55">
        <f t="shared" si="20"/>
        <v>784472.35</v>
      </c>
      <c r="G105" s="55">
        <f t="shared" si="21"/>
        <v>797125.35</v>
      </c>
      <c r="H105" s="113">
        <f t="shared" si="15"/>
        <v>120659.00057849499</v>
      </c>
      <c r="I105" s="122">
        <f t="shared" si="16"/>
        <v>120659.00057849499</v>
      </c>
      <c r="J105" s="54">
        <f t="shared" si="17"/>
        <v>0</v>
      </c>
      <c r="K105" s="54"/>
      <c r="L105" s="115"/>
      <c r="M105" s="54">
        <f t="shared" si="12"/>
        <v>0</v>
      </c>
      <c r="N105" s="115"/>
      <c r="O105" s="54">
        <f t="shared" si="13"/>
        <v>0</v>
      </c>
      <c r="P105" s="54">
        <f t="shared" si="14"/>
        <v>0</v>
      </c>
    </row>
    <row r="106" spans="1:16">
      <c r="B106" s="7" t="str">
        <f t="shared" si="18"/>
        <v/>
      </c>
      <c r="C106" s="50">
        <f>IF(D93="","-",+C105+1)</f>
        <v>2032</v>
      </c>
      <c r="D106" s="12">
        <f>IF(F105+SUM(E$99:E105)=D$92,F105,D$92-SUM(E$99:E105))</f>
        <v>784472.35</v>
      </c>
      <c r="E106" s="56">
        <f t="shared" si="19"/>
        <v>25306</v>
      </c>
      <c r="F106" s="55">
        <f t="shared" si="20"/>
        <v>759166.35</v>
      </c>
      <c r="G106" s="55">
        <f t="shared" si="21"/>
        <v>771819.35</v>
      </c>
      <c r="H106" s="113">
        <f t="shared" si="15"/>
        <v>117631.86935924648</v>
      </c>
      <c r="I106" s="122">
        <f t="shared" si="16"/>
        <v>117631.86935924648</v>
      </c>
      <c r="J106" s="54">
        <f t="shared" si="17"/>
        <v>0</v>
      </c>
      <c r="K106" s="54"/>
      <c r="L106" s="115"/>
      <c r="M106" s="54">
        <f t="shared" si="12"/>
        <v>0</v>
      </c>
      <c r="N106" s="115"/>
      <c r="O106" s="54">
        <f t="shared" si="13"/>
        <v>0</v>
      </c>
      <c r="P106" s="54">
        <f t="shared" si="14"/>
        <v>0</v>
      </c>
    </row>
    <row r="107" spans="1:16">
      <c r="B107" s="7" t="str">
        <f t="shared" si="18"/>
        <v/>
      </c>
      <c r="C107" s="50">
        <f>IF(D93="","-",+C106+1)</f>
        <v>2033</v>
      </c>
      <c r="D107" s="12">
        <f>IF(F106+SUM(E$99:E106)=D$92,F106,D$92-SUM(E$99:E106))</f>
        <v>759166.35</v>
      </c>
      <c r="E107" s="56">
        <f t="shared" si="19"/>
        <v>25306</v>
      </c>
      <c r="F107" s="55">
        <f t="shared" si="20"/>
        <v>733860.35</v>
      </c>
      <c r="G107" s="55">
        <f t="shared" si="21"/>
        <v>746513.35</v>
      </c>
      <c r="H107" s="113">
        <f t="shared" si="15"/>
        <v>114604.73813999796</v>
      </c>
      <c r="I107" s="122">
        <f t="shared" si="16"/>
        <v>114604.73813999796</v>
      </c>
      <c r="J107" s="54">
        <f t="shared" si="17"/>
        <v>0</v>
      </c>
      <c r="K107" s="54"/>
      <c r="L107" s="115"/>
      <c r="M107" s="54">
        <f t="shared" si="12"/>
        <v>0</v>
      </c>
      <c r="N107" s="115"/>
      <c r="O107" s="54">
        <f t="shared" si="13"/>
        <v>0</v>
      </c>
      <c r="P107" s="54">
        <f t="shared" si="14"/>
        <v>0</v>
      </c>
    </row>
    <row r="108" spans="1:16">
      <c r="B108" s="7" t="str">
        <f t="shared" si="18"/>
        <v/>
      </c>
      <c r="C108" s="50">
        <f>IF(D93="","-",+C107+1)</f>
        <v>2034</v>
      </c>
      <c r="D108" s="12">
        <f>IF(F107+SUM(E$99:E107)=D$92,F107,D$92-SUM(E$99:E107))</f>
        <v>733860.35</v>
      </c>
      <c r="E108" s="56">
        <f t="shared" si="19"/>
        <v>25306</v>
      </c>
      <c r="F108" s="55">
        <f t="shared" si="20"/>
        <v>708554.35</v>
      </c>
      <c r="G108" s="55">
        <f t="shared" si="21"/>
        <v>721207.35</v>
      </c>
      <c r="H108" s="113">
        <f t="shared" si="15"/>
        <v>111577.60692074946</v>
      </c>
      <c r="I108" s="122">
        <f t="shared" si="16"/>
        <v>111577.60692074946</v>
      </c>
      <c r="J108" s="54">
        <f t="shared" si="17"/>
        <v>0</v>
      </c>
      <c r="K108" s="54"/>
      <c r="L108" s="115"/>
      <c r="M108" s="54">
        <f t="shared" si="12"/>
        <v>0</v>
      </c>
      <c r="N108" s="115"/>
      <c r="O108" s="54">
        <f t="shared" si="13"/>
        <v>0</v>
      </c>
      <c r="P108" s="54">
        <f t="shared" si="14"/>
        <v>0</v>
      </c>
    </row>
    <row r="109" spans="1:16">
      <c r="B109" s="7" t="str">
        <f t="shared" si="18"/>
        <v/>
      </c>
      <c r="C109" s="50">
        <f>IF(D93="","-",+C108+1)</f>
        <v>2035</v>
      </c>
      <c r="D109" s="12">
        <f>IF(F108+SUM(E$99:E108)=D$92,F108,D$92-SUM(E$99:E108))</f>
        <v>708554.35</v>
      </c>
      <c r="E109" s="56">
        <f t="shared" si="19"/>
        <v>25306</v>
      </c>
      <c r="F109" s="55">
        <f t="shared" si="20"/>
        <v>683248.35</v>
      </c>
      <c r="G109" s="55">
        <f t="shared" si="21"/>
        <v>695901.35</v>
      </c>
      <c r="H109" s="113">
        <f t="shared" si="15"/>
        <v>108550.47570150095</v>
      </c>
      <c r="I109" s="122">
        <f t="shared" si="16"/>
        <v>108550.47570150095</v>
      </c>
      <c r="J109" s="54">
        <f t="shared" si="17"/>
        <v>0</v>
      </c>
      <c r="K109" s="54"/>
      <c r="L109" s="115"/>
      <c r="M109" s="54">
        <f t="shared" si="12"/>
        <v>0</v>
      </c>
      <c r="N109" s="115"/>
      <c r="O109" s="54">
        <f t="shared" si="13"/>
        <v>0</v>
      </c>
      <c r="P109" s="54">
        <f t="shared" si="14"/>
        <v>0</v>
      </c>
    </row>
    <row r="110" spans="1:16">
      <c r="B110" s="7" t="str">
        <f t="shared" si="18"/>
        <v/>
      </c>
      <c r="C110" s="50">
        <f>IF(D93="","-",+C109+1)</f>
        <v>2036</v>
      </c>
      <c r="D110" s="12">
        <f>IF(F109+SUM(E$99:E109)=D$92,F109,D$92-SUM(E$99:E109))</f>
        <v>683248.35</v>
      </c>
      <c r="E110" s="56">
        <f t="shared" si="19"/>
        <v>25306</v>
      </c>
      <c r="F110" s="55">
        <f t="shared" si="20"/>
        <v>657942.35</v>
      </c>
      <c r="G110" s="55">
        <f t="shared" si="21"/>
        <v>670595.35</v>
      </c>
      <c r="H110" s="113">
        <f t="shared" si="15"/>
        <v>105523.34448225245</v>
      </c>
      <c r="I110" s="122">
        <f t="shared" si="16"/>
        <v>105523.34448225245</v>
      </c>
      <c r="J110" s="54">
        <f t="shared" si="17"/>
        <v>0</v>
      </c>
      <c r="K110" s="54"/>
      <c r="L110" s="115"/>
      <c r="M110" s="54">
        <f t="shared" si="12"/>
        <v>0</v>
      </c>
      <c r="N110" s="115"/>
      <c r="O110" s="54">
        <f t="shared" si="13"/>
        <v>0</v>
      </c>
      <c r="P110" s="54">
        <f t="shared" si="14"/>
        <v>0</v>
      </c>
    </row>
    <row r="111" spans="1:16">
      <c r="B111" s="7" t="str">
        <f t="shared" si="18"/>
        <v/>
      </c>
      <c r="C111" s="50">
        <f>IF(D93="","-",+C110+1)</f>
        <v>2037</v>
      </c>
      <c r="D111" s="12">
        <f>IF(F110+SUM(E$99:E110)=D$92,F110,D$92-SUM(E$99:E110))</f>
        <v>657942.35</v>
      </c>
      <c r="E111" s="56">
        <f t="shared" si="19"/>
        <v>25306</v>
      </c>
      <c r="F111" s="55">
        <f t="shared" si="20"/>
        <v>632636.35</v>
      </c>
      <c r="G111" s="55">
        <f t="shared" si="21"/>
        <v>645289.35</v>
      </c>
      <c r="H111" s="113">
        <f t="shared" si="15"/>
        <v>102496.21326300394</v>
      </c>
      <c r="I111" s="122">
        <f t="shared" si="16"/>
        <v>102496.21326300394</v>
      </c>
      <c r="J111" s="54">
        <f t="shared" si="17"/>
        <v>0</v>
      </c>
      <c r="K111" s="54"/>
      <c r="L111" s="115"/>
      <c r="M111" s="54">
        <f t="shared" si="12"/>
        <v>0</v>
      </c>
      <c r="N111" s="115"/>
      <c r="O111" s="54">
        <f t="shared" si="13"/>
        <v>0</v>
      </c>
      <c r="P111" s="54">
        <f t="shared" si="14"/>
        <v>0</v>
      </c>
    </row>
    <row r="112" spans="1:16">
      <c r="B112" s="7" t="str">
        <f t="shared" si="18"/>
        <v/>
      </c>
      <c r="C112" s="50">
        <f>IF(D93="","-",+C111+1)</f>
        <v>2038</v>
      </c>
      <c r="D112" s="12">
        <f>IF(F111+SUM(E$99:E111)=D$92,F111,D$92-SUM(E$99:E111))</f>
        <v>632636.35</v>
      </c>
      <c r="E112" s="56">
        <f t="shared" si="19"/>
        <v>25306</v>
      </c>
      <c r="F112" s="55">
        <f t="shared" si="20"/>
        <v>607330.35</v>
      </c>
      <c r="G112" s="55">
        <f t="shared" si="21"/>
        <v>619983.35</v>
      </c>
      <c r="H112" s="113">
        <f t="shared" si="15"/>
        <v>99469.082043755421</v>
      </c>
      <c r="I112" s="122">
        <f t="shared" si="16"/>
        <v>99469.082043755421</v>
      </c>
      <c r="J112" s="54">
        <f t="shared" si="17"/>
        <v>0</v>
      </c>
      <c r="K112" s="54"/>
      <c r="L112" s="115"/>
      <c r="M112" s="54">
        <f t="shared" si="12"/>
        <v>0</v>
      </c>
      <c r="N112" s="115"/>
      <c r="O112" s="54">
        <f t="shared" si="13"/>
        <v>0</v>
      </c>
      <c r="P112" s="54">
        <f t="shared" si="14"/>
        <v>0</v>
      </c>
    </row>
    <row r="113" spans="2:16">
      <c r="B113" s="7" t="str">
        <f t="shared" si="18"/>
        <v/>
      </c>
      <c r="C113" s="50">
        <f>IF(D93="","-",+C112+1)</f>
        <v>2039</v>
      </c>
      <c r="D113" s="12">
        <f>IF(F112+SUM(E$99:E112)=D$92,F112,D$92-SUM(E$99:E112))</f>
        <v>607330.35</v>
      </c>
      <c r="E113" s="56">
        <f t="shared" si="19"/>
        <v>25306</v>
      </c>
      <c r="F113" s="55">
        <f t="shared" si="20"/>
        <v>582024.35</v>
      </c>
      <c r="G113" s="55">
        <f t="shared" si="21"/>
        <v>594677.35</v>
      </c>
      <c r="H113" s="113">
        <f t="shared" si="15"/>
        <v>96441.950824506916</v>
      </c>
      <c r="I113" s="122">
        <f t="shared" si="16"/>
        <v>96441.950824506916</v>
      </c>
      <c r="J113" s="54">
        <f t="shared" si="17"/>
        <v>0</v>
      </c>
      <c r="K113" s="54"/>
      <c r="L113" s="115"/>
      <c r="M113" s="54">
        <f t="shared" si="12"/>
        <v>0</v>
      </c>
      <c r="N113" s="115"/>
      <c r="O113" s="54">
        <f t="shared" si="13"/>
        <v>0</v>
      </c>
      <c r="P113" s="54">
        <f t="shared" si="14"/>
        <v>0</v>
      </c>
    </row>
    <row r="114" spans="2:16">
      <c r="B114" s="7" t="str">
        <f t="shared" si="18"/>
        <v/>
      </c>
      <c r="C114" s="50">
        <f>IF(D93="","-",+C113+1)</f>
        <v>2040</v>
      </c>
      <c r="D114" s="12">
        <f>IF(F113+SUM(E$99:E113)=D$92,F113,D$92-SUM(E$99:E113))</f>
        <v>582024.35</v>
      </c>
      <c r="E114" s="56">
        <f t="shared" si="19"/>
        <v>25306</v>
      </c>
      <c r="F114" s="55">
        <f t="shared" si="20"/>
        <v>556718.35</v>
      </c>
      <c r="G114" s="55">
        <f t="shared" si="21"/>
        <v>569371.35</v>
      </c>
      <c r="H114" s="113">
        <f t="shared" si="15"/>
        <v>93414.81960525841</v>
      </c>
      <c r="I114" s="122">
        <f t="shared" si="16"/>
        <v>93414.81960525841</v>
      </c>
      <c r="J114" s="54">
        <f t="shared" si="17"/>
        <v>0</v>
      </c>
      <c r="K114" s="54"/>
      <c r="L114" s="115"/>
      <c r="M114" s="54">
        <f t="shared" si="12"/>
        <v>0</v>
      </c>
      <c r="N114" s="115"/>
      <c r="O114" s="54">
        <f t="shared" si="13"/>
        <v>0</v>
      </c>
      <c r="P114" s="54">
        <f t="shared" si="14"/>
        <v>0</v>
      </c>
    </row>
    <row r="115" spans="2:16">
      <c r="B115" s="7" t="str">
        <f t="shared" si="18"/>
        <v/>
      </c>
      <c r="C115" s="50">
        <f>IF(D93="","-",+C114+1)</f>
        <v>2041</v>
      </c>
      <c r="D115" s="12">
        <f>IF(F114+SUM(E$99:E114)=D$92,F114,D$92-SUM(E$99:E114))</f>
        <v>556718.35</v>
      </c>
      <c r="E115" s="56">
        <f t="shared" si="19"/>
        <v>25306</v>
      </c>
      <c r="F115" s="55">
        <f t="shared" si="20"/>
        <v>531412.35</v>
      </c>
      <c r="G115" s="55">
        <f t="shared" si="21"/>
        <v>544065.35</v>
      </c>
      <c r="H115" s="113">
        <f t="shared" si="15"/>
        <v>90387.68838600989</v>
      </c>
      <c r="I115" s="122">
        <f t="shared" si="16"/>
        <v>90387.68838600989</v>
      </c>
      <c r="J115" s="54">
        <f t="shared" si="17"/>
        <v>0</v>
      </c>
      <c r="K115" s="54"/>
      <c r="L115" s="115"/>
      <c r="M115" s="54">
        <f t="shared" si="12"/>
        <v>0</v>
      </c>
      <c r="N115" s="115"/>
      <c r="O115" s="54">
        <f t="shared" si="13"/>
        <v>0</v>
      </c>
      <c r="P115" s="54">
        <f t="shared" si="14"/>
        <v>0</v>
      </c>
    </row>
    <row r="116" spans="2:16">
      <c r="B116" s="7" t="str">
        <f t="shared" si="18"/>
        <v/>
      </c>
      <c r="C116" s="50">
        <f>IF(D93="","-",+C115+1)</f>
        <v>2042</v>
      </c>
      <c r="D116" s="12">
        <f>IF(F115+SUM(E$99:E115)=D$92,F115,D$92-SUM(E$99:E115))</f>
        <v>531412.35</v>
      </c>
      <c r="E116" s="56">
        <f t="shared" si="19"/>
        <v>25306</v>
      </c>
      <c r="F116" s="55">
        <f t="shared" si="20"/>
        <v>506106.35</v>
      </c>
      <c r="G116" s="55">
        <f t="shared" si="21"/>
        <v>518759.35</v>
      </c>
      <c r="H116" s="113">
        <f t="shared" si="15"/>
        <v>87360.557166761399</v>
      </c>
      <c r="I116" s="122">
        <f t="shared" si="16"/>
        <v>87360.557166761399</v>
      </c>
      <c r="J116" s="54">
        <f t="shared" si="17"/>
        <v>0</v>
      </c>
      <c r="K116" s="54"/>
      <c r="L116" s="115"/>
      <c r="M116" s="54">
        <f t="shared" si="12"/>
        <v>0</v>
      </c>
      <c r="N116" s="115"/>
      <c r="O116" s="54">
        <f t="shared" si="13"/>
        <v>0</v>
      </c>
      <c r="P116" s="54">
        <f t="shared" si="14"/>
        <v>0</v>
      </c>
    </row>
    <row r="117" spans="2:16">
      <c r="B117" s="7" t="str">
        <f t="shared" si="18"/>
        <v/>
      </c>
      <c r="C117" s="50">
        <f>IF(D93="","-",+C116+1)</f>
        <v>2043</v>
      </c>
      <c r="D117" s="12">
        <f>IF(F116+SUM(E$99:E116)=D$92,F116,D$92-SUM(E$99:E116))</f>
        <v>506106.35</v>
      </c>
      <c r="E117" s="56">
        <f t="shared" si="19"/>
        <v>25306</v>
      </c>
      <c r="F117" s="55">
        <f t="shared" si="20"/>
        <v>480800.35</v>
      </c>
      <c r="G117" s="55">
        <f t="shared" si="21"/>
        <v>493453.35</v>
      </c>
      <c r="H117" s="113">
        <f t="shared" si="15"/>
        <v>84333.425947512878</v>
      </c>
      <c r="I117" s="122">
        <f t="shared" si="16"/>
        <v>84333.425947512878</v>
      </c>
      <c r="J117" s="54">
        <f t="shared" si="17"/>
        <v>0</v>
      </c>
      <c r="K117" s="54"/>
      <c r="L117" s="115"/>
      <c r="M117" s="54">
        <f t="shared" si="12"/>
        <v>0</v>
      </c>
      <c r="N117" s="115"/>
      <c r="O117" s="54">
        <f t="shared" si="13"/>
        <v>0</v>
      </c>
      <c r="P117" s="54">
        <f t="shared" si="14"/>
        <v>0</v>
      </c>
    </row>
    <row r="118" spans="2:16">
      <c r="B118" s="7" t="str">
        <f t="shared" si="18"/>
        <v/>
      </c>
      <c r="C118" s="50">
        <f>IF(D93="","-",+C117+1)</f>
        <v>2044</v>
      </c>
      <c r="D118" s="12">
        <f>IF(F117+SUM(E$99:E117)=D$92,F117,D$92-SUM(E$99:E117))</f>
        <v>480800.35</v>
      </c>
      <c r="E118" s="56">
        <f t="shared" si="19"/>
        <v>25306</v>
      </c>
      <c r="F118" s="55">
        <f t="shared" si="20"/>
        <v>455494.35</v>
      </c>
      <c r="G118" s="55">
        <f t="shared" si="21"/>
        <v>468147.35</v>
      </c>
      <c r="H118" s="113">
        <f t="shared" si="15"/>
        <v>81306.294728264373</v>
      </c>
      <c r="I118" s="122">
        <f t="shared" si="16"/>
        <v>81306.294728264373</v>
      </c>
      <c r="J118" s="54">
        <f t="shared" si="17"/>
        <v>0</v>
      </c>
      <c r="K118" s="54"/>
      <c r="L118" s="115"/>
      <c r="M118" s="54">
        <f t="shared" si="12"/>
        <v>0</v>
      </c>
      <c r="N118" s="115"/>
      <c r="O118" s="54">
        <f t="shared" si="13"/>
        <v>0</v>
      </c>
      <c r="P118" s="54">
        <f t="shared" si="14"/>
        <v>0</v>
      </c>
    </row>
    <row r="119" spans="2:16">
      <c r="B119" s="7" t="str">
        <f t="shared" si="18"/>
        <v/>
      </c>
      <c r="C119" s="50">
        <f>IF(D93="","-",+C118+1)</f>
        <v>2045</v>
      </c>
      <c r="D119" s="12">
        <f>IF(F118+SUM(E$99:E118)=D$92,F118,D$92-SUM(E$99:E118))</f>
        <v>455494.35</v>
      </c>
      <c r="E119" s="56">
        <f t="shared" si="19"/>
        <v>25306</v>
      </c>
      <c r="F119" s="55">
        <f t="shared" si="20"/>
        <v>430188.35</v>
      </c>
      <c r="G119" s="55">
        <f t="shared" si="21"/>
        <v>442841.35</v>
      </c>
      <c r="H119" s="113">
        <f t="shared" si="15"/>
        <v>78279.163509015867</v>
      </c>
      <c r="I119" s="122">
        <f t="shared" si="16"/>
        <v>78279.163509015867</v>
      </c>
      <c r="J119" s="54">
        <f t="shared" si="17"/>
        <v>0</v>
      </c>
      <c r="K119" s="54"/>
      <c r="L119" s="115"/>
      <c r="M119" s="54">
        <f t="shared" si="12"/>
        <v>0</v>
      </c>
      <c r="N119" s="115"/>
      <c r="O119" s="54">
        <f t="shared" si="13"/>
        <v>0</v>
      </c>
      <c r="P119" s="54">
        <f t="shared" si="14"/>
        <v>0</v>
      </c>
    </row>
    <row r="120" spans="2:16">
      <c r="B120" s="7" t="str">
        <f t="shared" si="18"/>
        <v/>
      </c>
      <c r="C120" s="50">
        <f>IF(D93="","-",+C119+1)</f>
        <v>2046</v>
      </c>
      <c r="D120" s="12">
        <f>IF(F119+SUM(E$99:E119)=D$92,F119,D$92-SUM(E$99:E119))</f>
        <v>430188.35</v>
      </c>
      <c r="E120" s="56">
        <f t="shared" si="19"/>
        <v>25306</v>
      </c>
      <c r="F120" s="55">
        <f t="shared" si="20"/>
        <v>404882.35</v>
      </c>
      <c r="G120" s="55">
        <f t="shared" si="21"/>
        <v>417535.35</v>
      </c>
      <c r="H120" s="113">
        <f t="shared" si="15"/>
        <v>75252.032289767347</v>
      </c>
      <c r="I120" s="122">
        <f t="shared" si="16"/>
        <v>75252.032289767347</v>
      </c>
      <c r="J120" s="54">
        <f t="shared" si="17"/>
        <v>0</v>
      </c>
      <c r="K120" s="54"/>
      <c r="L120" s="115"/>
      <c r="M120" s="54">
        <f t="shared" si="12"/>
        <v>0</v>
      </c>
      <c r="N120" s="115"/>
      <c r="O120" s="54">
        <f t="shared" si="13"/>
        <v>0</v>
      </c>
      <c r="P120" s="54">
        <f t="shared" si="14"/>
        <v>0</v>
      </c>
    </row>
    <row r="121" spans="2:16">
      <c r="B121" s="7" t="str">
        <f t="shared" si="18"/>
        <v/>
      </c>
      <c r="C121" s="50">
        <f>IF(D93="","-",+C120+1)</f>
        <v>2047</v>
      </c>
      <c r="D121" s="12">
        <f>IF(F120+SUM(E$99:E120)=D$92,F120,D$92-SUM(E$99:E120))</f>
        <v>404882.35</v>
      </c>
      <c r="E121" s="56">
        <f t="shared" si="19"/>
        <v>25306</v>
      </c>
      <c r="F121" s="55">
        <f t="shared" si="20"/>
        <v>379576.35</v>
      </c>
      <c r="G121" s="55">
        <f t="shared" si="21"/>
        <v>392229.35</v>
      </c>
      <c r="H121" s="113">
        <f t="shared" si="15"/>
        <v>72224.901070518856</v>
      </c>
      <c r="I121" s="122">
        <f t="shared" si="16"/>
        <v>72224.901070518856</v>
      </c>
      <c r="J121" s="54">
        <f t="shared" si="17"/>
        <v>0</v>
      </c>
      <c r="K121" s="54"/>
      <c r="L121" s="115"/>
      <c r="M121" s="54">
        <f t="shared" si="12"/>
        <v>0</v>
      </c>
      <c r="N121" s="115"/>
      <c r="O121" s="54">
        <f t="shared" si="13"/>
        <v>0</v>
      </c>
      <c r="P121" s="54">
        <f t="shared" si="14"/>
        <v>0</v>
      </c>
    </row>
    <row r="122" spans="2:16">
      <c r="B122" s="7" t="str">
        <f t="shared" si="18"/>
        <v/>
      </c>
      <c r="C122" s="50">
        <f>IF(D93="","-",+C121+1)</f>
        <v>2048</v>
      </c>
      <c r="D122" s="12">
        <f>IF(F121+SUM(E$99:E121)=D$92,F121,D$92-SUM(E$99:E121))</f>
        <v>379576.35</v>
      </c>
      <c r="E122" s="56">
        <f t="shared" si="19"/>
        <v>25306</v>
      </c>
      <c r="F122" s="55">
        <f t="shared" si="20"/>
        <v>354270.35</v>
      </c>
      <c r="G122" s="55">
        <f t="shared" si="21"/>
        <v>366923.35</v>
      </c>
      <c r="H122" s="113">
        <f t="shared" si="15"/>
        <v>69197.769851270335</v>
      </c>
      <c r="I122" s="122">
        <f t="shared" si="16"/>
        <v>69197.769851270335</v>
      </c>
      <c r="J122" s="54">
        <f t="shared" si="17"/>
        <v>0</v>
      </c>
      <c r="K122" s="54"/>
      <c r="L122" s="115"/>
      <c r="M122" s="54">
        <f t="shared" si="12"/>
        <v>0</v>
      </c>
      <c r="N122" s="115"/>
      <c r="O122" s="54">
        <f t="shared" si="13"/>
        <v>0</v>
      </c>
      <c r="P122" s="54">
        <f t="shared" si="14"/>
        <v>0</v>
      </c>
    </row>
    <row r="123" spans="2:16">
      <c r="B123" s="7" t="str">
        <f t="shared" si="18"/>
        <v/>
      </c>
      <c r="C123" s="50">
        <f>IF(D93="","-",+C122+1)</f>
        <v>2049</v>
      </c>
      <c r="D123" s="12">
        <f>IF(F122+SUM(E$99:E122)=D$92,F122,D$92-SUM(E$99:E122))</f>
        <v>354270.35</v>
      </c>
      <c r="E123" s="56">
        <f t="shared" si="19"/>
        <v>25306</v>
      </c>
      <c r="F123" s="55">
        <f t="shared" si="20"/>
        <v>328964.34999999998</v>
      </c>
      <c r="G123" s="55">
        <f t="shared" si="21"/>
        <v>341617.35</v>
      </c>
      <c r="H123" s="113">
        <f t="shared" si="15"/>
        <v>66170.63863202183</v>
      </c>
      <c r="I123" s="122">
        <f t="shared" si="16"/>
        <v>66170.63863202183</v>
      </c>
      <c r="J123" s="54">
        <f t="shared" si="17"/>
        <v>0</v>
      </c>
      <c r="K123" s="54"/>
      <c r="L123" s="115"/>
      <c r="M123" s="54">
        <f t="shared" si="12"/>
        <v>0</v>
      </c>
      <c r="N123" s="115"/>
      <c r="O123" s="54">
        <f t="shared" si="13"/>
        <v>0</v>
      </c>
      <c r="P123" s="54">
        <f t="shared" si="14"/>
        <v>0</v>
      </c>
    </row>
    <row r="124" spans="2:16">
      <c r="B124" s="7" t="str">
        <f t="shared" si="18"/>
        <v/>
      </c>
      <c r="C124" s="50">
        <f>IF(D93="","-",+C123+1)</f>
        <v>2050</v>
      </c>
      <c r="D124" s="12">
        <f>IF(F123+SUM(E$99:E123)=D$92,F123,D$92-SUM(E$99:E123))</f>
        <v>328964.34999999998</v>
      </c>
      <c r="E124" s="56">
        <f t="shared" si="19"/>
        <v>25306</v>
      </c>
      <c r="F124" s="55">
        <f t="shared" si="20"/>
        <v>303658.34999999998</v>
      </c>
      <c r="G124" s="55">
        <f t="shared" si="21"/>
        <v>316311.34999999998</v>
      </c>
      <c r="H124" s="113">
        <f t="shared" si="15"/>
        <v>63143.507412773324</v>
      </c>
      <c r="I124" s="122">
        <f t="shared" si="16"/>
        <v>63143.507412773324</v>
      </c>
      <c r="J124" s="54">
        <f t="shared" si="17"/>
        <v>0</v>
      </c>
      <c r="K124" s="54"/>
      <c r="L124" s="115"/>
      <c r="M124" s="54">
        <f t="shared" si="12"/>
        <v>0</v>
      </c>
      <c r="N124" s="115"/>
      <c r="O124" s="54">
        <f t="shared" si="13"/>
        <v>0</v>
      </c>
      <c r="P124" s="54">
        <f t="shared" si="14"/>
        <v>0</v>
      </c>
    </row>
    <row r="125" spans="2:16">
      <c r="B125" s="7" t="str">
        <f t="shared" si="18"/>
        <v/>
      </c>
      <c r="C125" s="50">
        <f>IF(D93="","-",+C124+1)</f>
        <v>2051</v>
      </c>
      <c r="D125" s="12">
        <f>IF(F124+SUM(E$99:E124)=D$92,F124,D$92-SUM(E$99:E124))</f>
        <v>303658.34999999998</v>
      </c>
      <c r="E125" s="56">
        <f t="shared" si="19"/>
        <v>25306</v>
      </c>
      <c r="F125" s="55">
        <f t="shared" si="20"/>
        <v>278352.34999999998</v>
      </c>
      <c r="G125" s="55">
        <f t="shared" si="21"/>
        <v>291005.34999999998</v>
      </c>
      <c r="H125" s="113">
        <f t="shared" si="15"/>
        <v>60116.376193524811</v>
      </c>
      <c r="I125" s="122">
        <f t="shared" si="16"/>
        <v>60116.376193524811</v>
      </c>
      <c r="J125" s="54">
        <f t="shared" si="17"/>
        <v>0</v>
      </c>
      <c r="K125" s="54"/>
      <c r="L125" s="115"/>
      <c r="M125" s="54">
        <f t="shared" si="12"/>
        <v>0</v>
      </c>
      <c r="N125" s="115"/>
      <c r="O125" s="54">
        <f t="shared" si="13"/>
        <v>0</v>
      </c>
      <c r="P125" s="54">
        <f t="shared" si="14"/>
        <v>0</v>
      </c>
    </row>
    <row r="126" spans="2:16">
      <c r="B126" s="7" t="str">
        <f t="shared" si="18"/>
        <v/>
      </c>
      <c r="C126" s="50">
        <f>IF(D93="","-",+C125+1)</f>
        <v>2052</v>
      </c>
      <c r="D126" s="12">
        <f>IF(F125+SUM(E$99:E125)=D$92,F125,D$92-SUM(E$99:E125))</f>
        <v>278352.34999999998</v>
      </c>
      <c r="E126" s="56">
        <f t="shared" si="19"/>
        <v>25306</v>
      </c>
      <c r="F126" s="55">
        <f t="shared" si="20"/>
        <v>253046.34999999998</v>
      </c>
      <c r="G126" s="55">
        <f t="shared" si="21"/>
        <v>265699.34999999998</v>
      </c>
      <c r="H126" s="113">
        <f t="shared" si="15"/>
        <v>57089.244974276306</v>
      </c>
      <c r="I126" s="122">
        <f t="shared" si="16"/>
        <v>57089.244974276306</v>
      </c>
      <c r="J126" s="54">
        <f t="shared" si="17"/>
        <v>0</v>
      </c>
      <c r="K126" s="54"/>
      <c r="L126" s="115"/>
      <c r="M126" s="54">
        <f t="shared" si="12"/>
        <v>0</v>
      </c>
      <c r="N126" s="115"/>
      <c r="O126" s="54">
        <f t="shared" si="13"/>
        <v>0</v>
      </c>
      <c r="P126" s="54">
        <f t="shared" si="14"/>
        <v>0</v>
      </c>
    </row>
    <row r="127" spans="2:16">
      <c r="B127" s="7" t="str">
        <f t="shared" si="18"/>
        <v/>
      </c>
      <c r="C127" s="50">
        <f>IF(D93="","-",+C126+1)</f>
        <v>2053</v>
      </c>
      <c r="D127" s="12">
        <f>IF(F126+SUM(E$99:E126)=D$92,F126,D$92-SUM(E$99:E126))</f>
        <v>253046.34999999998</v>
      </c>
      <c r="E127" s="56">
        <f t="shared" si="19"/>
        <v>25306</v>
      </c>
      <c r="F127" s="55">
        <f t="shared" si="20"/>
        <v>227740.34999999998</v>
      </c>
      <c r="G127" s="55">
        <f t="shared" si="21"/>
        <v>240393.34999999998</v>
      </c>
      <c r="H127" s="113">
        <f t="shared" si="15"/>
        <v>54062.113755027793</v>
      </c>
      <c r="I127" s="122">
        <f t="shared" si="16"/>
        <v>54062.113755027793</v>
      </c>
      <c r="J127" s="54">
        <f t="shared" si="17"/>
        <v>0</v>
      </c>
      <c r="K127" s="54"/>
      <c r="L127" s="115"/>
      <c r="M127" s="54">
        <f t="shared" si="12"/>
        <v>0</v>
      </c>
      <c r="N127" s="115"/>
      <c r="O127" s="54">
        <f t="shared" si="13"/>
        <v>0</v>
      </c>
      <c r="P127" s="54">
        <f t="shared" si="14"/>
        <v>0</v>
      </c>
    </row>
    <row r="128" spans="2:16">
      <c r="B128" s="7" t="str">
        <f t="shared" si="18"/>
        <v/>
      </c>
      <c r="C128" s="50">
        <f>IF(D93="","-",+C127+1)</f>
        <v>2054</v>
      </c>
      <c r="D128" s="12">
        <f>IF(F127+SUM(E$99:E127)=D$92,F127,D$92-SUM(E$99:E127))</f>
        <v>227740.34999999998</v>
      </c>
      <c r="E128" s="56">
        <f t="shared" si="19"/>
        <v>25306</v>
      </c>
      <c r="F128" s="55">
        <f t="shared" si="20"/>
        <v>202434.34999999998</v>
      </c>
      <c r="G128" s="55">
        <f t="shared" si="21"/>
        <v>215087.34999999998</v>
      </c>
      <c r="H128" s="113">
        <f t="shared" si="15"/>
        <v>51034.982535779287</v>
      </c>
      <c r="I128" s="122">
        <f t="shared" si="16"/>
        <v>51034.982535779287</v>
      </c>
      <c r="J128" s="54">
        <f t="shared" si="17"/>
        <v>0</v>
      </c>
      <c r="K128" s="54"/>
      <c r="L128" s="115"/>
      <c r="M128" s="54">
        <f t="shared" si="12"/>
        <v>0</v>
      </c>
      <c r="N128" s="115"/>
      <c r="O128" s="54">
        <f t="shared" si="13"/>
        <v>0</v>
      </c>
      <c r="P128" s="54">
        <f t="shared" si="14"/>
        <v>0</v>
      </c>
    </row>
    <row r="129" spans="2:16">
      <c r="B129" s="7" t="str">
        <f t="shared" si="18"/>
        <v/>
      </c>
      <c r="C129" s="50">
        <f>IF(D93="","-",+C128+1)</f>
        <v>2055</v>
      </c>
      <c r="D129" s="12">
        <f>IF(F128+SUM(E$99:E128)=D$92,F128,D$92-SUM(E$99:E128))</f>
        <v>202434.34999999998</v>
      </c>
      <c r="E129" s="56">
        <f t="shared" si="19"/>
        <v>25306</v>
      </c>
      <c r="F129" s="55">
        <f t="shared" si="20"/>
        <v>177128.34999999998</v>
      </c>
      <c r="G129" s="55">
        <f t="shared" si="21"/>
        <v>189781.34999999998</v>
      </c>
      <c r="H129" s="113">
        <f t="shared" si="15"/>
        <v>48007.851316530781</v>
      </c>
      <c r="I129" s="122">
        <f t="shared" si="16"/>
        <v>48007.851316530781</v>
      </c>
      <c r="J129" s="54">
        <f t="shared" si="17"/>
        <v>0</v>
      </c>
      <c r="K129" s="54"/>
      <c r="L129" s="115"/>
      <c r="M129" s="54">
        <f t="shared" si="12"/>
        <v>0</v>
      </c>
      <c r="N129" s="115"/>
      <c r="O129" s="54">
        <f t="shared" si="13"/>
        <v>0</v>
      </c>
      <c r="P129" s="54">
        <f t="shared" si="14"/>
        <v>0</v>
      </c>
    </row>
    <row r="130" spans="2:16">
      <c r="B130" s="7" t="str">
        <f t="shared" si="18"/>
        <v/>
      </c>
      <c r="C130" s="50">
        <f>IF(D93="","-",+C129+1)</f>
        <v>2056</v>
      </c>
      <c r="D130" s="12">
        <f>IF(F129+SUM(E$99:E129)=D$92,F129,D$92-SUM(E$99:E129))</f>
        <v>177128.34999999998</v>
      </c>
      <c r="E130" s="56">
        <f t="shared" si="19"/>
        <v>25306</v>
      </c>
      <c r="F130" s="55">
        <f t="shared" si="20"/>
        <v>151822.34999999998</v>
      </c>
      <c r="G130" s="55">
        <f t="shared" si="21"/>
        <v>164475.34999999998</v>
      </c>
      <c r="H130" s="113">
        <f t="shared" si="15"/>
        <v>44980.720097282276</v>
      </c>
      <c r="I130" s="122">
        <f t="shared" si="16"/>
        <v>44980.720097282276</v>
      </c>
      <c r="J130" s="54">
        <f t="shared" si="17"/>
        <v>0</v>
      </c>
      <c r="K130" s="54"/>
      <c r="L130" s="115"/>
      <c r="M130" s="54">
        <f t="shared" si="12"/>
        <v>0</v>
      </c>
      <c r="N130" s="115"/>
      <c r="O130" s="54">
        <f t="shared" si="13"/>
        <v>0</v>
      </c>
      <c r="P130" s="54">
        <f t="shared" si="14"/>
        <v>0</v>
      </c>
    </row>
    <row r="131" spans="2:16">
      <c r="B131" s="7" t="str">
        <f t="shared" si="18"/>
        <v/>
      </c>
      <c r="C131" s="50">
        <f>IF(D93="","-",+C130+1)</f>
        <v>2057</v>
      </c>
      <c r="D131" s="12">
        <f>IF(F130+SUM(E$99:E130)=D$92,F130,D$92-SUM(E$99:E130))</f>
        <v>151822.34999999998</v>
      </c>
      <c r="E131" s="56">
        <f t="shared" si="19"/>
        <v>25306</v>
      </c>
      <c r="F131" s="55">
        <f t="shared" si="20"/>
        <v>126516.34999999998</v>
      </c>
      <c r="G131" s="55">
        <f t="shared" si="21"/>
        <v>139169.34999999998</v>
      </c>
      <c r="H131" s="113">
        <f t="shared" si="15"/>
        <v>41953.588878033763</v>
      </c>
      <c r="I131" s="122">
        <f t="shared" si="16"/>
        <v>41953.588878033763</v>
      </c>
      <c r="J131" s="54">
        <f t="shared" ref="J131:J154" si="22">+I541-H541</f>
        <v>0</v>
      </c>
      <c r="K131" s="54"/>
      <c r="L131" s="115"/>
      <c r="M131" s="54">
        <f t="shared" ref="M131:M154" si="23">IF(L541&lt;&gt;0,+H541-L541,0)</f>
        <v>0</v>
      </c>
      <c r="N131" s="115"/>
      <c r="O131" s="54">
        <f t="shared" ref="O131:O154" si="24">IF(N541&lt;&gt;0,+I541-N541,0)</f>
        <v>0</v>
      </c>
      <c r="P131" s="54">
        <f t="shared" ref="P131:P154" si="25">+O541-M541</f>
        <v>0</v>
      </c>
    </row>
    <row r="132" spans="2:16">
      <c r="B132" s="7" t="str">
        <f t="shared" si="18"/>
        <v/>
      </c>
      <c r="C132" s="50">
        <f>IF(D93="","-",+C131+1)</f>
        <v>2058</v>
      </c>
      <c r="D132" s="12">
        <f>IF(F131+SUM(E$99:E131)=D$92,F131,D$92-SUM(E$99:E131))</f>
        <v>126516.34999999998</v>
      </c>
      <c r="E132" s="56">
        <f t="shared" si="19"/>
        <v>25306</v>
      </c>
      <c r="F132" s="55">
        <f t="shared" si="20"/>
        <v>101210.34999999998</v>
      </c>
      <c r="G132" s="55">
        <f t="shared" si="21"/>
        <v>113863.34999999998</v>
      </c>
      <c r="H132" s="113">
        <f t="shared" si="15"/>
        <v>38926.45765878525</v>
      </c>
      <c r="I132" s="122">
        <f t="shared" si="16"/>
        <v>38926.45765878525</v>
      </c>
      <c r="J132" s="54">
        <f t="shared" si="22"/>
        <v>0</v>
      </c>
      <c r="K132" s="54"/>
      <c r="L132" s="115"/>
      <c r="M132" s="54">
        <f t="shared" si="23"/>
        <v>0</v>
      </c>
      <c r="N132" s="115"/>
      <c r="O132" s="54">
        <f t="shared" si="24"/>
        <v>0</v>
      </c>
      <c r="P132" s="54">
        <f t="shared" si="25"/>
        <v>0</v>
      </c>
    </row>
    <row r="133" spans="2:16">
      <c r="B133" s="7" t="str">
        <f t="shared" si="18"/>
        <v/>
      </c>
      <c r="C133" s="50">
        <f>IF(D93="","-",+C132+1)</f>
        <v>2059</v>
      </c>
      <c r="D133" s="12">
        <f>IF(F132+SUM(E$99:E132)=D$92,F132,D$92-SUM(E$99:E132))</f>
        <v>101210.34999999998</v>
      </c>
      <c r="E133" s="56">
        <f t="shared" si="19"/>
        <v>25306</v>
      </c>
      <c r="F133" s="55">
        <f t="shared" si="20"/>
        <v>75904.349999999977</v>
      </c>
      <c r="G133" s="55">
        <f t="shared" si="21"/>
        <v>88557.349999999977</v>
      </c>
      <c r="H133" s="113">
        <f t="shared" si="15"/>
        <v>35899.326439536744</v>
      </c>
      <c r="I133" s="122">
        <f t="shared" si="16"/>
        <v>35899.326439536744</v>
      </c>
      <c r="J133" s="54">
        <f t="shared" si="22"/>
        <v>0</v>
      </c>
      <c r="K133" s="54"/>
      <c r="L133" s="115"/>
      <c r="M133" s="54">
        <f t="shared" si="23"/>
        <v>0</v>
      </c>
      <c r="N133" s="115"/>
      <c r="O133" s="54">
        <f t="shared" si="24"/>
        <v>0</v>
      </c>
      <c r="P133" s="54">
        <f t="shared" si="25"/>
        <v>0</v>
      </c>
    </row>
    <row r="134" spans="2:16">
      <c r="B134" s="7" t="str">
        <f t="shared" si="18"/>
        <v/>
      </c>
      <c r="C134" s="50">
        <f>IF(D93="","-",+C133+1)</f>
        <v>2060</v>
      </c>
      <c r="D134" s="12">
        <f>IF(F133+SUM(E$99:E133)=D$92,F133,D$92-SUM(E$99:E133))</f>
        <v>75904.349999999977</v>
      </c>
      <c r="E134" s="56">
        <f t="shared" si="19"/>
        <v>25306</v>
      </c>
      <c r="F134" s="55">
        <f t="shared" si="20"/>
        <v>50598.349999999977</v>
      </c>
      <c r="G134" s="55">
        <f t="shared" si="21"/>
        <v>63251.349999999977</v>
      </c>
      <c r="H134" s="113">
        <f t="shared" si="15"/>
        <v>32872.195220288238</v>
      </c>
      <c r="I134" s="122">
        <f t="shared" si="16"/>
        <v>32872.195220288238</v>
      </c>
      <c r="J134" s="54">
        <f t="shared" si="22"/>
        <v>0</v>
      </c>
      <c r="K134" s="54"/>
      <c r="L134" s="115"/>
      <c r="M134" s="54">
        <f t="shared" si="23"/>
        <v>0</v>
      </c>
      <c r="N134" s="115"/>
      <c r="O134" s="54">
        <f t="shared" si="24"/>
        <v>0</v>
      </c>
      <c r="P134" s="54">
        <f t="shared" si="25"/>
        <v>0</v>
      </c>
    </row>
    <row r="135" spans="2:16">
      <c r="B135" s="7" t="str">
        <f t="shared" si="18"/>
        <v/>
      </c>
      <c r="C135" s="50">
        <f>IF(D93="","-",+C134+1)</f>
        <v>2061</v>
      </c>
      <c r="D135" s="12">
        <f>IF(F134+SUM(E$99:E134)=D$92,F134,D$92-SUM(E$99:E134))</f>
        <v>50598.349999999977</v>
      </c>
      <c r="E135" s="56">
        <f t="shared" si="19"/>
        <v>25306</v>
      </c>
      <c r="F135" s="55">
        <f t="shared" si="20"/>
        <v>25292.349999999977</v>
      </c>
      <c r="G135" s="55">
        <f t="shared" si="21"/>
        <v>37945.349999999977</v>
      </c>
      <c r="H135" s="113">
        <f t="shared" si="15"/>
        <v>29845.064001039726</v>
      </c>
      <c r="I135" s="122">
        <f t="shared" si="16"/>
        <v>29845.064001039726</v>
      </c>
      <c r="J135" s="54">
        <f t="shared" si="22"/>
        <v>0</v>
      </c>
      <c r="K135" s="54"/>
      <c r="L135" s="115"/>
      <c r="M135" s="54">
        <f t="shared" si="23"/>
        <v>0</v>
      </c>
      <c r="N135" s="115"/>
      <c r="O135" s="54">
        <f t="shared" si="24"/>
        <v>0</v>
      </c>
      <c r="P135" s="54">
        <f t="shared" si="25"/>
        <v>0</v>
      </c>
    </row>
    <row r="136" spans="2:16">
      <c r="B136" s="7" t="str">
        <f t="shared" si="18"/>
        <v/>
      </c>
      <c r="C136" s="50">
        <f>IF(D93="","-",+C135+1)</f>
        <v>2062</v>
      </c>
      <c r="D136" s="12">
        <f>IF(F135+SUM(E$99:E135)=D$92,F135,D$92-SUM(E$99:E135))</f>
        <v>25292.349999999977</v>
      </c>
      <c r="E136" s="56">
        <f t="shared" si="19"/>
        <v>25292.349999999977</v>
      </c>
      <c r="F136" s="55">
        <f t="shared" si="20"/>
        <v>0</v>
      </c>
      <c r="G136" s="55">
        <f t="shared" si="21"/>
        <v>12646.174999999988</v>
      </c>
      <c r="H136" s="113">
        <f t="shared" si="15"/>
        <v>26805.099195707713</v>
      </c>
      <c r="I136" s="122">
        <f t="shared" si="16"/>
        <v>26805.099195707713</v>
      </c>
      <c r="J136" s="54">
        <f t="shared" si="22"/>
        <v>0</v>
      </c>
      <c r="K136" s="54"/>
      <c r="L136" s="115"/>
      <c r="M136" s="54">
        <f t="shared" si="23"/>
        <v>0</v>
      </c>
      <c r="N136" s="115"/>
      <c r="O136" s="54">
        <f t="shared" si="24"/>
        <v>0</v>
      </c>
      <c r="P136" s="54">
        <f t="shared" si="25"/>
        <v>0</v>
      </c>
    </row>
    <row r="137" spans="2:16">
      <c r="B137" s="7" t="str">
        <f t="shared" si="18"/>
        <v/>
      </c>
      <c r="C137" s="50">
        <f>IF(D93="","-",+C136+1)</f>
        <v>2063</v>
      </c>
      <c r="D137" s="12">
        <f>IF(F136+SUM(E$99:E136)=D$92,F136,D$92-SUM(E$99:E136))</f>
        <v>0</v>
      </c>
      <c r="E137" s="56">
        <f t="shared" si="19"/>
        <v>0</v>
      </c>
      <c r="F137" s="55">
        <f t="shared" si="20"/>
        <v>0</v>
      </c>
      <c r="G137" s="55">
        <f t="shared" si="21"/>
        <v>0</v>
      </c>
      <c r="H137" s="113">
        <f t="shared" si="15"/>
        <v>0</v>
      </c>
      <c r="I137" s="122">
        <f t="shared" si="16"/>
        <v>0</v>
      </c>
      <c r="J137" s="54">
        <f t="shared" si="22"/>
        <v>0</v>
      </c>
      <c r="K137" s="54"/>
      <c r="L137" s="115"/>
      <c r="M137" s="54">
        <f t="shared" si="23"/>
        <v>0</v>
      </c>
      <c r="N137" s="115"/>
      <c r="O137" s="54">
        <f t="shared" si="24"/>
        <v>0</v>
      </c>
      <c r="P137" s="54">
        <f t="shared" si="25"/>
        <v>0</v>
      </c>
    </row>
    <row r="138" spans="2:16">
      <c r="B138" s="7" t="str">
        <f t="shared" si="18"/>
        <v/>
      </c>
      <c r="C138" s="50">
        <f>IF(D93="","-",+C137+1)</f>
        <v>2064</v>
      </c>
      <c r="D138" s="12">
        <f>IF(F137+SUM(E$99:E137)=D$92,F137,D$92-SUM(E$99:E137))</f>
        <v>0</v>
      </c>
      <c r="E138" s="56">
        <f t="shared" si="19"/>
        <v>0</v>
      </c>
      <c r="F138" s="55">
        <f t="shared" si="20"/>
        <v>0</v>
      </c>
      <c r="G138" s="55">
        <f t="shared" si="21"/>
        <v>0</v>
      </c>
      <c r="H138" s="113">
        <f t="shared" si="15"/>
        <v>0</v>
      </c>
      <c r="I138" s="122">
        <f t="shared" si="16"/>
        <v>0</v>
      </c>
      <c r="J138" s="54">
        <f t="shared" si="22"/>
        <v>0</v>
      </c>
      <c r="K138" s="54"/>
      <c r="L138" s="115"/>
      <c r="M138" s="54">
        <f t="shared" si="23"/>
        <v>0</v>
      </c>
      <c r="N138" s="115"/>
      <c r="O138" s="54">
        <f t="shared" si="24"/>
        <v>0</v>
      </c>
      <c r="P138" s="54">
        <f t="shared" si="25"/>
        <v>0</v>
      </c>
    </row>
    <row r="139" spans="2:16">
      <c r="B139" s="7" t="str">
        <f t="shared" si="18"/>
        <v/>
      </c>
      <c r="C139" s="50">
        <f>IF(D93="","-",+C138+1)</f>
        <v>2065</v>
      </c>
      <c r="D139" s="12">
        <f>IF(F138+SUM(E$99:E138)=D$92,F138,D$92-SUM(E$99:E138))</f>
        <v>0</v>
      </c>
      <c r="E139" s="56">
        <f t="shared" si="19"/>
        <v>0</v>
      </c>
      <c r="F139" s="55">
        <f t="shared" si="20"/>
        <v>0</v>
      </c>
      <c r="G139" s="55">
        <f t="shared" si="21"/>
        <v>0</v>
      </c>
      <c r="H139" s="113">
        <f t="shared" si="15"/>
        <v>0</v>
      </c>
      <c r="I139" s="122">
        <f t="shared" si="16"/>
        <v>0</v>
      </c>
      <c r="J139" s="54">
        <f t="shared" si="22"/>
        <v>0</v>
      </c>
      <c r="K139" s="54"/>
      <c r="L139" s="115"/>
      <c r="M139" s="54">
        <f t="shared" si="23"/>
        <v>0</v>
      </c>
      <c r="N139" s="115"/>
      <c r="O139" s="54">
        <f t="shared" si="24"/>
        <v>0</v>
      </c>
      <c r="P139" s="54">
        <f t="shared" si="25"/>
        <v>0</v>
      </c>
    </row>
    <row r="140" spans="2:16">
      <c r="B140" s="7" t="str">
        <f t="shared" si="18"/>
        <v/>
      </c>
      <c r="C140" s="50">
        <f>IF(D93="","-",+C139+1)</f>
        <v>2066</v>
      </c>
      <c r="D140" s="12">
        <f>IF(F139+SUM(E$99:E139)=D$92,F139,D$92-SUM(E$99:E139))</f>
        <v>0</v>
      </c>
      <c r="E140" s="56">
        <f t="shared" si="19"/>
        <v>0</v>
      </c>
      <c r="F140" s="55">
        <f t="shared" si="20"/>
        <v>0</v>
      </c>
      <c r="G140" s="55">
        <f t="shared" si="21"/>
        <v>0</v>
      </c>
      <c r="H140" s="113">
        <f t="shared" si="15"/>
        <v>0</v>
      </c>
      <c r="I140" s="122">
        <f t="shared" si="16"/>
        <v>0</v>
      </c>
      <c r="J140" s="54">
        <f t="shared" si="22"/>
        <v>0</v>
      </c>
      <c r="K140" s="54"/>
      <c r="L140" s="115"/>
      <c r="M140" s="54">
        <f t="shared" si="23"/>
        <v>0</v>
      </c>
      <c r="N140" s="115"/>
      <c r="O140" s="54">
        <f t="shared" si="24"/>
        <v>0</v>
      </c>
      <c r="P140" s="54">
        <f t="shared" si="25"/>
        <v>0</v>
      </c>
    </row>
    <row r="141" spans="2:16">
      <c r="B141" s="7" t="str">
        <f t="shared" si="18"/>
        <v/>
      </c>
      <c r="C141" s="50">
        <f>IF(D93="","-",+C140+1)</f>
        <v>2067</v>
      </c>
      <c r="D141" s="12">
        <f>IF(F140+SUM(E$99:E140)=D$92,F140,D$92-SUM(E$99:E140))</f>
        <v>0</v>
      </c>
      <c r="E141" s="56">
        <f t="shared" si="19"/>
        <v>0</v>
      </c>
      <c r="F141" s="55">
        <f t="shared" si="20"/>
        <v>0</v>
      </c>
      <c r="G141" s="55">
        <f t="shared" si="21"/>
        <v>0</v>
      </c>
      <c r="H141" s="113">
        <f t="shared" si="15"/>
        <v>0</v>
      </c>
      <c r="I141" s="122">
        <f t="shared" si="16"/>
        <v>0</v>
      </c>
      <c r="J141" s="54">
        <f t="shared" si="22"/>
        <v>0</v>
      </c>
      <c r="K141" s="54"/>
      <c r="L141" s="115"/>
      <c r="M141" s="54">
        <f t="shared" si="23"/>
        <v>0</v>
      </c>
      <c r="N141" s="115"/>
      <c r="O141" s="54">
        <f t="shared" si="24"/>
        <v>0</v>
      </c>
      <c r="P141" s="54">
        <f t="shared" si="25"/>
        <v>0</v>
      </c>
    </row>
    <row r="142" spans="2:16">
      <c r="B142" s="7" t="str">
        <f t="shared" si="18"/>
        <v/>
      </c>
      <c r="C142" s="50">
        <f>IF(D93="","-",+C141+1)</f>
        <v>2068</v>
      </c>
      <c r="D142" s="12">
        <f>IF(F141+SUM(E$99:E141)=D$92,F141,D$92-SUM(E$99:E141))</f>
        <v>0</v>
      </c>
      <c r="E142" s="56">
        <f t="shared" si="19"/>
        <v>0</v>
      </c>
      <c r="F142" s="55">
        <f t="shared" si="20"/>
        <v>0</v>
      </c>
      <c r="G142" s="55">
        <f t="shared" si="21"/>
        <v>0</v>
      </c>
      <c r="H142" s="113">
        <f t="shared" si="15"/>
        <v>0</v>
      </c>
      <c r="I142" s="122">
        <f t="shared" si="16"/>
        <v>0</v>
      </c>
      <c r="J142" s="54">
        <f t="shared" si="22"/>
        <v>0</v>
      </c>
      <c r="K142" s="54"/>
      <c r="L142" s="115"/>
      <c r="M142" s="54">
        <f t="shared" si="23"/>
        <v>0</v>
      </c>
      <c r="N142" s="115"/>
      <c r="O142" s="54">
        <f t="shared" si="24"/>
        <v>0</v>
      </c>
      <c r="P142" s="54">
        <f t="shared" si="25"/>
        <v>0</v>
      </c>
    </row>
    <row r="143" spans="2:16">
      <c r="B143" s="7" t="str">
        <f t="shared" si="18"/>
        <v/>
      </c>
      <c r="C143" s="50">
        <f>IF(D93="","-",+C142+1)</f>
        <v>2069</v>
      </c>
      <c r="D143" s="12">
        <f>IF(F142+SUM(E$99:E142)=D$92,F142,D$92-SUM(E$99:E142))</f>
        <v>0</v>
      </c>
      <c r="E143" s="56">
        <f t="shared" si="19"/>
        <v>0</v>
      </c>
      <c r="F143" s="55">
        <f t="shared" si="20"/>
        <v>0</v>
      </c>
      <c r="G143" s="55">
        <f t="shared" si="21"/>
        <v>0</v>
      </c>
      <c r="H143" s="113">
        <f t="shared" si="15"/>
        <v>0</v>
      </c>
      <c r="I143" s="122">
        <f t="shared" si="16"/>
        <v>0</v>
      </c>
      <c r="J143" s="54">
        <f t="shared" si="22"/>
        <v>0</v>
      </c>
      <c r="K143" s="54"/>
      <c r="L143" s="115"/>
      <c r="M143" s="54">
        <f t="shared" si="23"/>
        <v>0</v>
      </c>
      <c r="N143" s="115"/>
      <c r="O143" s="54">
        <f t="shared" si="24"/>
        <v>0</v>
      </c>
      <c r="P143" s="54">
        <f t="shared" si="25"/>
        <v>0</v>
      </c>
    </row>
    <row r="144" spans="2:16">
      <c r="B144" s="7" t="str">
        <f t="shared" si="18"/>
        <v/>
      </c>
      <c r="C144" s="50">
        <f>IF(D93="","-",+C143+1)</f>
        <v>2070</v>
      </c>
      <c r="D144" s="12">
        <f>IF(F143+SUM(E$99:E143)=D$92,F143,D$92-SUM(E$99:E143))</f>
        <v>0</v>
      </c>
      <c r="E144" s="56">
        <f t="shared" si="19"/>
        <v>0</v>
      </c>
      <c r="F144" s="55">
        <f t="shared" si="20"/>
        <v>0</v>
      </c>
      <c r="G144" s="55">
        <f t="shared" si="21"/>
        <v>0</v>
      </c>
      <c r="H144" s="113">
        <f t="shared" si="15"/>
        <v>0</v>
      </c>
      <c r="I144" s="122">
        <f t="shared" si="16"/>
        <v>0</v>
      </c>
      <c r="J144" s="54">
        <f t="shared" si="22"/>
        <v>0</v>
      </c>
      <c r="K144" s="54"/>
      <c r="L144" s="115"/>
      <c r="M144" s="54">
        <f t="shared" si="23"/>
        <v>0</v>
      </c>
      <c r="N144" s="115"/>
      <c r="O144" s="54">
        <f t="shared" si="24"/>
        <v>0</v>
      </c>
      <c r="P144" s="54">
        <f t="shared" si="25"/>
        <v>0</v>
      </c>
    </row>
    <row r="145" spans="2:16">
      <c r="B145" s="7" t="str">
        <f t="shared" si="18"/>
        <v/>
      </c>
      <c r="C145" s="50">
        <f>IF(D93="","-",+C144+1)</f>
        <v>2071</v>
      </c>
      <c r="D145" s="12">
        <f>IF(F144+SUM(E$99:E144)=D$92,F144,D$92-SUM(E$99:E144))</f>
        <v>0</v>
      </c>
      <c r="E145" s="56">
        <f t="shared" si="19"/>
        <v>0</v>
      </c>
      <c r="F145" s="55">
        <f t="shared" si="20"/>
        <v>0</v>
      </c>
      <c r="G145" s="55">
        <f t="shared" si="21"/>
        <v>0</v>
      </c>
      <c r="H145" s="113">
        <f t="shared" si="15"/>
        <v>0</v>
      </c>
      <c r="I145" s="122">
        <f t="shared" si="16"/>
        <v>0</v>
      </c>
      <c r="J145" s="54">
        <f t="shared" si="22"/>
        <v>0</v>
      </c>
      <c r="K145" s="54"/>
      <c r="L145" s="115"/>
      <c r="M145" s="54">
        <f t="shared" si="23"/>
        <v>0</v>
      </c>
      <c r="N145" s="115"/>
      <c r="O145" s="54">
        <f t="shared" si="24"/>
        <v>0</v>
      </c>
      <c r="P145" s="54">
        <f t="shared" si="25"/>
        <v>0</v>
      </c>
    </row>
    <row r="146" spans="2:16">
      <c r="B146" s="7" t="str">
        <f t="shared" si="18"/>
        <v/>
      </c>
      <c r="C146" s="50">
        <f>IF(D93="","-",+C145+1)</f>
        <v>2072</v>
      </c>
      <c r="D146" s="12">
        <f>IF(F145+SUM(E$99:E145)=D$92,F145,D$92-SUM(E$99:E145))</f>
        <v>0</v>
      </c>
      <c r="E146" s="56">
        <f t="shared" si="19"/>
        <v>0</v>
      </c>
      <c r="F146" s="55">
        <f t="shared" si="20"/>
        <v>0</v>
      </c>
      <c r="G146" s="55">
        <f t="shared" si="21"/>
        <v>0</v>
      </c>
      <c r="H146" s="113">
        <f t="shared" si="15"/>
        <v>0</v>
      </c>
      <c r="I146" s="122">
        <f t="shared" si="16"/>
        <v>0</v>
      </c>
      <c r="J146" s="54">
        <f t="shared" si="22"/>
        <v>0</v>
      </c>
      <c r="K146" s="54"/>
      <c r="L146" s="115"/>
      <c r="M146" s="54">
        <f t="shared" si="23"/>
        <v>0</v>
      </c>
      <c r="N146" s="115"/>
      <c r="O146" s="54">
        <f t="shared" si="24"/>
        <v>0</v>
      </c>
      <c r="P146" s="54">
        <f t="shared" si="25"/>
        <v>0</v>
      </c>
    </row>
    <row r="147" spans="2:16">
      <c r="B147" s="7" t="str">
        <f t="shared" si="18"/>
        <v/>
      </c>
      <c r="C147" s="50">
        <f>IF(D93="","-",+C146+1)</f>
        <v>2073</v>
      </c>
      <c r="D147" s="12">
        <f>IF(F146+SUM(E$99:E146)=D$92,F146,D$92-SUM(E$99:E146))</f>
        <v>0</v>
      </c>
      <c r="E147" s="56">
        <f t="shared" si="19"/>
        <v>0</v>
      </c>
      <c r="F147" s="55">
        <f t="shared" si="20"/>
        <v>0</v>
      </c>
      <c r="G147" s="55">
        <f t="shared" si="21"/>
        <v>0</v>
      </c>
      <c r="H147" s="113">
        <f t="shared" si="15"/>
        <v>0</v>
      </c>
      <c r="I147" s="122">
        <f t="shared" si="16"/>
        <v>0</v>
      </c>
      <c r="J147" s="54">
        <f t="shared" si="22"/>
        <v>0</v>
      </c>
      <c r="K147" s="54"/>
      <c r="L147" s="115"/>
      <c r="M147" s="54">
        <f t="shared" si="23"/>
        <v>0</v>
      </c>
      <c r="N147" s="115"/>
      <c r="O147" s="54">
        <f t="shared" si="24"/>
        <v>0</v>
      </c>
      <c r="P147" s="54">
        <f t="shared" si="25"/>
        <v>0</v>
      </c>
    </row>
    <row r="148" spans="2:16">
      <c r="B148" s="7" t="str">
        <f t="shared" si="18"/>
        <v/>
      </c>
      <c r="C148" s="50">
        <f>IF(D93="","-",+C147+1)</f>
        <v>2074</v>
      </c>
      <c r="D148" s="12">
        <f>IF(F147+SUM(E$99:E147)=D$92,F147,D$92-SUM(E$99:E147))</f>
        <v>0</v>
      </c>
      <c r="E148" s="56">
        <f t="shared" si="19"/>
        <v>0</v>
      </c>
      <c r="F148" s="55">
        <f t="shared" si="20"/>
        <v>0</v>
      </c>
      <c r="G148" s="55">
        <f t="shared" si="21"/>
        <v>0</v>
      </c>
      <c r="H148" s="113">
        <f t="shared" si="15"/>
        <v>0</v>
      </c>
      <c r="I148" s="122">
        <f t="shared" si="16"/>
        <v>0</v>
      </c>
      <c r="J148" s="54">
        <f t="shared" si="22"/>
        <v>0</v>
      </c>
      <c r="K148" s="54"/>
      <c r="L148" s="115"/>
      <c r="M148" s="54">
        <f t="shared" si="23"/>
        <v>0</v>
      </c>
      <c r="N148" s="115"/>
      <c r="O148" s="54">
        <f t="shared" si="24"/>
        <v>0</v>
      </c>
      <c r="P148" s="54">
        <f t="shared" si="25"/>
        <v>0</v>
      </c>
    </row>
    <row r="149" spans="2:16">
      <c r="B149" s="7" t="str">
        <f t="shared" si="18"/>
        <v/>
      </c>
      <c r="C149" s="50">
        <f>IF(D93="","-",+C148+1)</f>
        <v>2075</v>
      </c>
      <c r="D149" s="12">
        <f>IF(F148+SUM(E$99:E148)=D$92,F148,D$92-SUM(E$99:E148))</f>
        <v>0</v>
      </c>
      <c r="E149" s="56">
        <f t="shared" si="19"/>
        <v>0</v>
      </c>
      <c r="F149" s="55">
        <f t="shared" si="20"/>
        <v>0</v>
      </c>
      <c r="G149" s="55">
        <f t="shared" si="21"/>
        <v>0</v>
      </c>
      <c r="H149" s="113">
        <f t="shared" si="15"/>
        <v>0</v>
      </c>
      <c r="I149" s="122">
        <f t="shared" si="16"/>
        <v>0</v>
      </c>
      <c r="J149" s="54">
        <f t="shared" si="22"/>
        <v>0</v>
      </c>
      <c r="K149" s="54"/>
      <c r="L149" s="115"/>
      <c r="M149" s="54">
        <f t="shared" si="23"/>
        <v>0</v>
      </c>
      <c r="N149" s="115"/>
      <c r="O149" s="54">
        <f t="shared" si="24"/>
        <v>0</v>
      </c>
      <c r="P149" s="54">
        <f t="shared" si="25"/>
        <v>0</v>
      </c>
    </row>
    <row r="150" spans="2:16">
      <c r="B150" s="7" t="str">
        <f t="shared" si="18"/>
        <v/>
      </c>
      <c r="C150" s="50">
        <f>IF(D93="","-",+C149+1)</f>
        <v>2076</v>
      </c>
      <c r="D150" s="12">
        <f>IF(F149+SUM(E$99:E149)=D$92,F149,D$92-SUM(E$99:E149))</f>
        <v>0</v>
      </c>
      <c r="E150" s="56">
        <f t="shared" si="19"/>
        <v>0</v>
      </c>
      <c r="F150" s="55">
        <f t="shared" si="20"/>
        <v>0</v>
      </c>
      <c r="G150" s="55">
        <f t="shared" si="21"/>
        <v>0</v>
      </c>
      <c r="H150" s="113">
        <f t="shared" si="15"/>
        <v>0</v>
      </c>
      <c r="I150" s="122">
        <f t="shared" si="16"/>
        <v>0</v>
      </c>
      <c r="J150" s="54">
        <f t="shared" si="22"/>
        <v>0</v>
      </c>
      <c r="K150" s="54"/>
      <c r="L150" s="115"/>
      <c r="M150" s="54">
        <f t="shared" si="23"/>
        <v>0</v>
      </c>
      <c r="N150" s="115"/>
      <c r="O150" s="54">
        <f t="shared" si="24"/>
        <v>0</v>
      </c>
      <c r="P150" s="54">
        <f t="shared" si="25"/>
        <v>0</v>
      </c>
    </row>
    <row r="151" spans="2:16">
      <c r="B151" s="7" t="str">
        <f t="shared" si="18"/>
        <v/>
      </c>
      <c r="C151" s="50">
        <f>IF(D93="","-",+C150+1)</f>
        <v>2077</v>
      </c>
      <c r="D151" s="12">
        <f>IF(F150+SUM(E$99:E150)=D$92,F150,D$92-SUM(E$99:E150))</f>
        <v>0</v>
      </c>
      <c r="E151" s="56">
        <f t="shared" si="19"/>
        <v>0</v>
      </c>
      <c r="F151" s="55">
        <f t="shared" si="20"/>
        <v>0</v>
      </c>
      <c r="G151" s="55">
        <f t="shared" si="21"/>
        <v>0</v>
      </c>
      <c r="H151" s="113">
        <f t="shared" si="15"/>
        <v>0</v>
      </c>
      <c r="I151" s="122">
        <f t="shared" si="16"/>
        <v>0</v>
      </c>
      <c r="J151" s="54">
        <f t="shared" si="22"/>
        <v>0</v>
      </c>
      <c r="K151" s="54"/>
      <c r="L151" s="115"/>
      <c r="M151" s="54">
        <f t="shared" si="23"/>
        <v>0</v>
      </c>
      <c r="N151" s="115"/>
      <c r="O151" s="54">
        <f t="shared" si="24"/>
        <v>0</v>
      </c>
      <c r="P151" s="54">
        <f t="shared" si="25"/>
        <v>0</v>
      </c>
    </row>
    <row r="152" spans="2:16">
      <c r="B152" s="7" t="str">
        <f t="shared" si="18"/>
        <v/>
      </c>
      <c r="C152" s="50">
        <f>IF(D93="","-",+C151+1)</f>
        <v>2078</v>
      </c>
      <c r="D152" s="12">
        <f>IF(F151+SUM(E$99:E151)=D$92,F151,D$92-SUM(E$99:E151))</f>
        <v>0</v>
      </c>
      <c r="E152" s="56">
        <f t="shared" si="19"/>
        <v>0</v>
      </c>
      <c r="F152" s="55">
        <f t="shared" si="20"/>
        <v>0</v>
      </c>
      <c r="G152" s="55">
        <f t="shared" si="21"/>
        <v>0</v>
      </c>
      <c r="H152" s="113">
        <f t="shared" si="15"/>
        <v>0</v>
      </c>
      <c r="I152" s="122">
        <f t="shared" si="16"/>
        <v>0</v>
      </c>
      <c r="J152" s="54">
        <f t="shared" si="22"/>
        <v>0</v>
      </c>
      <c r="K152" s="54"/>
      <c r="L152" s="115"/>
      <c r="M152" s="54">
        <f t="shared" si="23"/>
        <v>0</v>
      </c>
      <c r="N152" s="115"/>
      <c r="O152" s="54">
        <f t="shared" si="24"/>
        <v>0</v>
      </c>
      <c r="P152" s="54">
        <f t="shared" si="25"/>
        <v>0</v>
      </c>
    </row>
    <row r="153" spans="2:16">
      <c r="B153" s="7" t="str">
        <f t="shared" si="18"/>
        <v/>
      </c>
      <c r="C153" s="50">
        <f>IF(D93="","-",+C152+1)</f>
        <v>2079</v>
      </c>
      <c r="D153" s="12">
        <f>IF(F152+SUM(E$99:E152)=D$92,F152,D$92-SUM(E$99:E152))</f>
        <v>0</v>
      </c>
      <c r="E153" s="56">
        <f t="shared" si="19"/>
        <v>0</v>
      </c>
      <c r="F153" s="55">
        <f t="shared" si="20"/>
        <v>0</v>
      </c>
      <c r="G153" s="55">
        <f t="shared" si="21"/>
        <v>0</v>
      </c>
      <c r="H153" s="113">
        <f t="shared" si="15"/>
        <v>0</v>
      </c>
      <c r="I153" s="122">
        <f t="shared" si="16"/>
        <v>0</v>
      </c>
      <c r="J153" s="54">
        <f t="shared" si="22"/>
        <v>0</v>
      </c>
      <c r="K153" s="54"/>
      <c r="L153" s="115"/>
      <c r="M153" s="54">
        <f t="shared" si="23"/>
        <v>0</v>
      </c>
      <c r="N153" s="115"/>
      <c r="O153" s="54">
        <f t="shared" si="24"/>
        <v>0</v>
      </c>
      <c r="P153" s="54">
        <f t="shared" si="25"/>
        <v>0</v>
      </c>
    </row>
    <row r="154" spans="2:16" ht="13.5" thickBot="1">
      <c r="B154" s="7" t="str">
        <f t="shared" si="18"/>
        <v/>
      </c>
      <c r="C154" s="58">
        <f>IF(D93="","-",+C153+1)</f>
        <v>2080</v>
      </c>
      <c r="D154" s="82">
        <f>IF(F153+SUM(E$99:E153)=D$92,F153,D$92-SUM(E$99:E153))</f>
        <v>0</v>
      </c>
      <c r="E154" s="60">
        <f t="shared" si="19"/>
        <v>0</v>
      </c>
      <c r="F154" s="59">
        <f t="shared" si="20"/>
        <v>0</v>
      </c>
      <c r="G154" s="59">
        <f t="shared" si="21"/>
        <v>0</v>
      </c>
      <c r="H154" s="123">
        <f t="shared" si="15"/>
        <v>0</v>
      </c>
      <c r="I154" s="124">
        <f t="shared" si="16"/>
        <v>0</v>
      </c>
      <c r="J154" s="62">
        <f t="shared" si="22"/>
        <v>0</v>
      </c>
      <c r="K154" s="54"/>
      <c r="L154" s="116"/>
      <c r="M154" s="62">
        <f t="shared" si="23"/>
        <v>0</v>
      </c>
      <c r="N154" s="116"/>
      <c r="O154" s="62">
        <f t="shared" si="24"/>
        <v>0</v>
      </c>
      <c r="P154" s="62">
        <f t="shared" si="25"/>
        <v>0</v>
      </c>
    </row>
    <row r="155" spans="2:16">
      <c r="C155" s="12" t="s">
        <v>77</v>
      </c>
      <c r="D155" s="14"/>
      <c r="E155" s="14">
        <f>SUM(E99:E154)</f>
        <v>936308.35</v>
      </c>
      <c r="F155" s="14"/>
      <c r="G155" s="14"/>
      <c r="H155" s="14">
        <f>SUM(H99:H154)</f>
        <v>3064321.1825018795</v>
      </c>
      <c r="I155" s="14">
        <f>SUM(I99:I154)</f>
        <v>3064321.1825018795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F222B-73A9-4293-877D-C47D812C5ED3}">
  <dimension ref="A1:P162"/>
  <sheetViews>
    <sheetView topLeftCell="A77" zoomScaleNormal="100" zoomScaleSheetLayoutView="78" workbookViewId="0">
      <selection activeCell="D11" sqref="D1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35 of 36</v>
      </c>
    </row>
    <row r="2" spans="1:16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5.75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279</v>
      </c>
      <c r="L5" s="18"/>
      <c r="M5" s="19"/>
      <c r="N5" s="20">
        <f>VLOOKUP(I10,C17:I72,5)</f>
        <v>242352.53646317462</v>
      </c>
      <c r="P5" s="1"/>
    </row>
    <row r="6" spans="1:16" ht="15.75">
      <c r="C6" s="6"/>
      <c r="D6" s="2"/>
      <c r="E6" s="1"/>
      <c r="F6" s="1"/>
      <c r="G6" s="1"/>
      <c r="H6" s="21"/>
      <c r="I6" s="21"/>
      <c r="J6" s="22"/>
      <c r="K6" s="23" t="s">
        <v>280</v>
      </c>
      <c r="L6" s="24"/>
      <c r="M6" s="1"/>
      <c r="N6" s="25">
        <f>VLOOKUP(I10,C17:I72,6)</f>
        <v>242352.53646317462</v>
      </c>
      <c r="O6" s="1"/>
      <c r="P6" s="1"/>
    </row>
    <row r="7" spans="1:16" ht="13.5" thickBot="1">
      <c r="C7" s="26" t="s">
        <v>46</v>
      </c>
      <c r="D7" s="88" t="s">
        <v>366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367</v>
      </c>
      <c r="E9" s="514" t="s">
        <v>372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5">
        <v>1769867</v>
      </c>
      <c r="E10" s="1" t="s">
        <v>51</v>
      </c>
      <c r="G10" s="2"/>
      <c r="H10" s="2"/>
      <c r="I10" s="36">
        <f>+'PSO.WS.F.BPU.ATRR.Projected'!L19</f>
        <v>2025</v>
      </c>
      <c r="J10" s="34"/>
      <c r="K10" s="14" t="s">
        <v>52</v>
      </c>
      <c r="O10" s="1"/>
      <c r="P10" s="1"/>
    </row>
    <row r="11" spans="1:16">
      <c r="C11" s="37" t="s">
        <v>53</v>
      </c>
      <c r="D11" s="38">
        <v>2024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5">
        <v>6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14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46575.447368421053</v>
      </c>
      <c r="J14" s="14"/>
      <c r="K14" s="14"/>
      <c r="L14" s="14"/>
      <c r="M14" s="14"/>
      <c r="N14" s="14"/>
      <c r="O14" s="1"/>
      <c r="P14" s="1"/>
    </row>
    <row r="15" spans="1:16" ht="38.25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281</v>
      </c>
      <c r="H15" s="126" t="s">
        <v>282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3.5" thickBot="1">
      <c r="B17" s="7"/>
      <c r="C17" s="50">
        <f>IF(D11= "","-",D11)</f>
        <v>2024</v>
      </c>
      <c r="D17" s="518">
        <v>0</v>
      </c>
      <c r="E17" s="518">
        <v>23287.721506387501</v>
      </c>
      <c r="F17" s="518">
        <v>1746579.1129790626</v>
      </c>
      <c r="G17" s="518">
        <v>122499.0864305765</v>
      </c>
      <c r="H17" s="518">
        <v>122499.0864305765</v>
      </c>
      <c r="I17" s="52">
        <f>H17-G17</f>
        <v>0</v>
      </c>
      <c r="J17" s="52"/>
      <c r="K17" s="117">
        <f>+G17</f>
        <v>122499.0864305765</v>
      </c>
      <c r="L17" s="469">
        <f t="shared" ref="L17" si="0">IF(K17&lt;&gt;0,+G17-K17,0)</f>
        <v>0</v>
      </c>
      <c r="M17" s="117">
        <f>+H17</f>
        <v>122499.0864305765</v>
      </c>
      <c r="N17" s="469">
        <f t="shared" ref="N17" si="1">IF(M17&lt;&gt;0,+H17-M17,0)</f>
        <v>0</v>
      </c>
      <c r="O17" s="446">
        <f t="shared" ref="O17" si="2">+N17-L17</f>
        <v>0</v>
      </c>
      <c r="P17" s="1"/>
    </row>
    <row r="18" spans="2:16">
      <c r="B18" s="7" t="str">
        <f>IF(D18=F17,"","IU")</f>
        <v/>
      </c>
      <c r="C18" s="50">
        <f>IF(D11="","-",+C17+1)</f>
        <v>2025</v>
      </c>
      <c r="D18" s="518">
        <v>1746579.1129790626</v>
      </c>
      <c r="E18" s="518">
        <v>46575.443012775002</v>
      </c>
      <c r="F18" s="518">
        <v>1700003.6699662877</v>
      </c>
      <c r="G18" s="518">
        <v>242352.53646317462</v>
      </c>
      <c r="H18" s="518">
        <v>242352.53646317462</v>
      </c>
      <c r="I18" s="52">
        <f>H18-G18</f>
        <v>0</v>
      </c>
      <c r="J18" s="52"/>
      <c r="K18" s="117">
        <f>+G18</f>
        <v>242352.53646317462</v>
      </c>
      <c r="L18" s="469">
        <f t="shared" ref="L18" si="3">IF(K18&lt;&gt;0,+G18-K18,0)</f>
        <v>0</v>
      </c>
      <c r="M18" s="117">
        <f>+H18</f>
        <v>242352.53646317462</v>
      </c>
      <c r="N18" s="469">
        <f t="shared" ref="N18" si="4">IF(M18&lt;&gt;0,+H18-M18,0)</f>
        <v>0</v>
      </c>
      <c r="O18" s="446">
        <f t="shared" ref="O18" si="5">+N18-L18</f>
        <v>0</v>
      </c>
      <c r="P18" s="1"/>
    </row>
    <row r="19" spans="2:16">
      <c r="B19" s="7" t="str">
        <f>IF(D19=F18,"","IU")</f>
        <v>IU</v>
      </c>
      <c r="C19" s="50">
        <f>IF(D11="","-",+C18+1)</f>
        <v>2026</v>
      </c>
      <c r="D19" s="55">
        <f>IF(F18+SUM(E$17:E18)=D$10,F18,D$10-SUM(E$17:E18))</f>
        <v>1700003.8354808376</v>
      </c>
      <c r="E19" s="56">
        <f t="shared" ref="E19:E71" si="6">IF(+I$14&lt;F18,I$14,D19)</f>
        <v>46575.447368421053</v>
      </c>
      <c r="F19" s="55">
        <f t="shared" ref="F19:F71" si="7">+D19-E19</f>
        <v>1653428.3881124165</v>
      </c>
      <c r="G19" s="57">
        <f t="shared" ref="G19:G71" si="8">(D19+F19)/2*I$12+E19</f>
        <v>237061.28657897684</v>
      </c>
      <c r="H19" s="42">
        <f t="shared" ref="H19:H71" si="9">+(D19+F19)/2*I$13+E19</f>
        <v>237061.28657897684</v>
      </c>
      <c r="I19" s="52">
        <f t="shared" ref="I19:I71" si="10">H19-G19</f>
        <v>0</v>
      </c>
      <c r="J19" s="52"/>
      <c r="K19" s="115"/>
      <c r="L19" s="54">
        <f t="shared" ref="L19:L72" si="11">IF(K19&lt;&gt;0,+G19-K19,0)</f>
        <v>0</v>
      </c>
      <c r="M19" s="115"/>
      <c r="N19" s="54">
        <f t="shared" ref="N19:N72" si="12">IF(M19&lt;&gt;0,+H19-M19,0)</f>
        <v>0</v>
      </c>
      <c r="O19" s="54">
        <f t="shared" ref="O19:O72" si="13">+N19-L19</f>
        <v>0</v>
      </c>
      <c r="P19" s="1"/>
    </row>
    <row r="20" spans="2:16">
      <c r="B20" s="7" t="str">
        <f t="shared" ref="B20:B72" si="14">IF(D20=F19,"","IU")</f>
        <v/>
      </c>
      <c r="C20" s="50">
        <f>IF(D11="","-",+C19+1)</f>
        <v>2027</v>
      </c>
      <c r="D20" s="55">
        <f>IF(F19+SUM(E$17:E19)=D$10,F19,D$10-SUM(E$17:E19))</f>
        <v>1653428.3881124165</v>
      </c>
      <c r="E20" s="56">
        <f t="shared" si="6"/>
        <v>46575.447368421053</v>
      </c>
      <c r="F20" s="55">
        <f t="shared" si="7"/>
        <v>1606852.9407439954</v>
      </c>
      <c r="G20" s="57">
        <f t="shared" si="8"/>
        <v>231770.01328819041</v>
      </c>
      <c r="H20" s="42">
        <f t="shared" si="9"/>
        <v>231770.01328819041</v>
      </c>
      <c r="I20" s="52">
        <f t="shared" si="10"/>
        <v>0</v>
      </c>
      <c r="J20" s="52"/>
      <c r="K20" s="115"/>
      <c r="L20" s="54">
        <f t="shared" si="11"/>
        <v>0</v>
      </c>
      <c r="M20" s="115"/>
      <c r="N20" s="54">
        <f t="shared" si="12"/>
        <v>0</v>
      </c>
      <c r="O20" s="54">
        <f t="shared" si="13"/>
        <v>0</v>
      </c>
      <c r="P20" s="1"/>
    </row>
    <row r="21" spans="2:16">
      <c r="B21" s="7" t="str">
        <f t="shared" si="14"/>
        <v/>
      </c>
      <c r="C21" s="50">
        <f>IF(D11="","-",+C20+1)</f>
        <v>2028</v>
      </c>
      <c r="D21" s="55">
        <f>IF(F20+SUM(E$17:E20)=D$10,F20,D$10-SUM(E$17:E20))</f>
        <v>1606852.9407439954</v>
      </c>
      <c r="E21" s="56">
        <f t="shared" si="6"/>
        <v>46575.447368421053</v>
      </c>
      <c r="F21" s="55">
        <f t="shared" si="7"/>
        <v>1560277.4933755742</v>
      </c>
      <c r="G21" s="57">
        <f t="shared" si="8"/>
        <v>226478.73999740399</v>
      </c>
      <c r="H21" s="42">
        <f t="shared" si="9"/>
        <v>226478.73999740399</v>
      </c>
      <c r="I21" s="52">
        <f t="shared" si="10"/>
        <v>0</v>
      </c>
      <c r="J21" s="52"/>
      <c r="K21" s="115"/>
      <c r="L21" s="54">
        <f t="shared" si="11"/>
        <v>0</v>
      </c>
      <c r="M21" s="115"/>
      <c r="N21" s="54">
        <f t="shared" si="12"/>
        <v>0</v>
      </c>
      <c r="O21" s="54">
        <f t="shared" si="13"/>
        <v>0</v>
      </c>
      <c r="P21" s="1"/>
    </row>
    <row r="22" spans="2:16">
      <c r="B22" s="7" t="str">
        <f t="shared" si="14"/>
        <v/>
      </c>
      <c r="C22" s="50">
        <f>IF(D11="","-",+C21+1)</f>
        <v>2029</v>
      </c>
      <c r="D22" s="55">
        <f>IF(F21+SUM(E$17:E21)=D$10,F21,D$10-SUM(E$17:E21))</f>
        <v>1560277.4933755742</v>
      </c>
      <c r="E22" s="56">
        <f t="shared" si="6"/>
        <v>46575.447368421053</v>
      </c>
      <c r="F22" s="55">
        <f t="shared" si="7"/>
        <v>1513702.0460071531</v>
      </c>
      <c r="G22" s="57">
        <f t="shared" si="8"/>
        <v>221187.46670661756</v>
      </c>
      <c r="H22" s="42">
        <f t="shared" si="9"/>
        <v>221187.46670661756</v>
      </c>
      <c r="I22" s="52">
        <f t="shared" si="10"/>
        <v>0</v>
      </c>
      <c r="J22" s="52"/>
      <c r="K22" s="115"/>
      <c r="L22" s="54">
        <f t="shared" si="11"/>
        <v>0</v>
      </c>
      <c r="M22" s="115"/>
      <c r="N22" s="54">
        <f t="shared" si="12"/>
        <v>0</v>
      </c>
      <c r="O22" s="54">
        <f t="shared" si="13"/>
        <v>0</v>
      </c>
      <c r="P22" s="1"/>
    </row>
    <row r="23" spans="2:16">
      <c r="B23" s="7" t="str">
        <f t="shared" si="14"/>
        <v/>
      </c>
      <c r="C23" s="50">
        <f>IF(D11="","-",+C22+1)</f>
        <v>2030</v>
      </c>
      <c r="D23" s="55">
        <f>IF(F22+SUM(E$17:E22)=D$10,F22,D$10-SUM(E$17:E22))</f>
        <v>1513702.0460071531</v>
      </c>
      <c r="E23" s="56">
        <f t="shared" si="6"/>
        <v>46575.447368421053</v>
      </c>
      <c r="F23" s="55">
        <f t="shared" si="7"/>
        <v>1467126.598638732</v>
      </c>
      <c r="G23" s="57">
        <f t="shared" si="8"/>
        <v>215896.19341583108</v>
      </c>
      <c r="H23" s="42">
        <f t="shared" si="9"/>
        <v>215896.19341583108</v>
      </c>
      <c r="I23" s="52">
        <f t="shared" si="10"/>
        <v>0</v>
      </c>
      <c r="J23" s="52"/>
      <c r="K23" s="115"/>
      <c r="L23" s="54">
        <f t="shared" si="11"/>
        <v>0</v>
      </c>
      <c r="M23" s="115"/>
      <c r="N23" s="54">
        <f t="shared" si="12"/>
        <v>0</v>
      </c>
      <c r="O23" s="54">
        <f t="shared" si="13"/>
        <v>0</v>
      </c>
      <c r="P23" s="1"/>
    </row>
    <row r="24" spans="2:16">
      <c r="B24" s="7" t="str">
        <f t="shared" si="14"/>
        <v/>
      </c>
      <c r="C24" s="50">
        <f>IF(D11="","-",+C23+1)</f>
        <v>2031</v>
      </c>
      <c r="D24" s="55">
        <f>IF(F23+SUM(E$17:E23)=D$10,F23,D$10-SUM(E$17:E23))</f>
        <v>1467126.598638732</v>
      </c>
      <c r="E24" s="56">
        <f t="shared" si="6"/>
        <v>46575.447368421053</v>
      </c>
      <c r="F24" s="55">
        <f t="shared" si="7"/>
        <v>1420551.1512703109</v>
      </c>
      <c r="G24" s="57">
        <f t="shared" si="8"/>
        <v>210604.92012504465</v>
      </c>
      <c r="H24" s="42">
        <f t="shared" si="9"/>
        <v>210604.92012504465</v>
      </c>
      <c r="I24" s="52">
        <f t="shared" si="10"/>
        <v>0</v>
      </c>
      <c r="J24" s="52"/>
      <c r="K24" s="115"/>
      <c r="L24" s="54">
        <f t="shared" si="11"/>
        <v>0</v>
      </c>
      <c r="M24" s="115"/>
      <c r="N24" s="54">
        <f t="shared" si="12"/>
        <v>0</v>
      </c>
      <c r="O24" s="54">
        <f t="shared" si="13"/>
        <v>0</v>
      </c>
      <c r="P24" s="1"/>
    </row>
    <row r="25" spans="2:16">
      <c r="B25" s="7" t="str">
        <f t="shared" si="14"/>
        <v/>
      </c>
      <c r="C25" s="50">
        <f>IF(D11="","-",+C24+1)</f>
        <v>2032</v>
      </c>
      <c r="D25" s="55">
        <f>IF(F24+SUM(E$17:E24)=D$10,F24,D$10-SUM(E$17:E24))</f>
        <v>1420551.1512703109</v>
      </c>
      <c r="E25" s="56">
        <f t="shared" si="6"/>
        <v>46575.447368421053</v>
      </c>
      <c r="F25" s="55">
        <f t="shared" si="7"/>
        <v>1373975.7039018897</v>
      </c>
      <c r="G25" s="57">
        <f t="shared" si="8"/>
        <v>205313.64683425822</v>
      </c>
      <c r="H25" s="42">
        <f t="shared" si="9"/>
        <v>205313.64683425822</v>
      </c>
      <c r="I25" s="52">
        <f t="shared" si="10"/>
        <v>0</v>
      </c>
      <c r="J25" s="52"/>
      <c r="K25" s="115"/>
      <c r="L25" s="54">
        <f t="shared" si="11"/>
        <v>0</v>
      </c>
      <c r="M25" s="115"/>
      <c r="N25" s="54">
        <f t="shared" si="12"/>
        <v>0</v>
      </c>
      <c r="O25" s="54">
        <f t="shared" si="13"/>
        <v>0</v>
      </c>
      <c r="P25" s="1"/>
    </row>
    <row r="26" spans="2:16">
      <c r="B26" s="7" t="str">
        <f t="shared" si="14"/>
        <v/>
      </c>
      <c r="C26" s="50">
        <f>IF(D11="","-",+C25+1)</f>
        <v>2033</v>
      </c>
      <c r="D26" s="55">
        <f>IF(F25+SUM(E$17:E25)=D$10,F25,D$10-SUM(E$17:E25))</f>
        <v>1373975.7039018897</v>
      </c>
      <c r="E26" s="56">
        <f t="shared" si="6"/>
        <v>46575.447368421053</v>
      </c>
      <c r="F26" s="55">
        <f t="shared" si="7"/>
        <v>1327400.2565334686</v>
      </c>
      <c r="G26" s="57">
        <f t="shared" si="8"/>
        <v>200022.3735434718</v>
      </c>
      <c r="H26" s="42">
        <f t="shared" si="9"/>
        <v>200022.3735434718</v>
      </c>
      <c r="I26" s="52">
        <f t="shared" si="10"/>
        <v>0</v>
      </c>
      <c r="J26" s="52"/>
      <c r="K26" s="115"/>
      <c r="L26" s="54">
        <f t="shared" si="11"/>
        <v>0</v>
      </c>
      <c r="M26" s="115"/>
      <c r="N26" s="54">
        <f t="shared" si="12"/>
        <v>0</v>
      </c>
      <c r="O26" s="54">
        <f t="shared" si="13"/>
        <v>0</v>
      </c>
      <c r="P26" s="1"/>
    </row>
    <row r="27" spans="2:16">
      <c r="B27" s="7" t="str">
        <f t="shared" si="14"/>
        <v/>
      </c>
      <c r="C27" s="50">
        <f>IF(D11="","-",+C26+1)</f>
        <v>2034</v>
      </c>
      <c r="D27" s="55">
        <f>IF(F26+SUM(E$17:E26)=D$10,F26,D$10-SUM(E$17:E26))</f>
        <v>1327400.2565334686</v>
      </c>
      <c r="E27" s="56">
        <f t="shared" si="6"/>
        <v>46575.447368421053</v>
      </c>
      <c r="F27" s="55">
        <f t="shared" si="7"/>
        <v>1280824.8091650475</v>
      </c>
      <c r="G27" s="57">
        <f t="shared" si="8"/>
        <v>194731.10025268537</v>
      </c>
      <c r="H27" s="42">
        <f t="shared" si="9"/>
        <v>194731.10025268537</v>
      </c>
      <c r="I27" s="52">
        <f t="shared" si="10"/>
        <v>0</v>
      </c>
      <c r="J27" s="52"/>
      <c r="K27" s="115"/>
      <c r="L27" s="54">
        <f t="shared" si="11"/>
        <v>0</v>
      </c>
      <c r="M27" s="115"/>
      <c r="N27" s="54">
        <f t="shared" si="12"/>
        <v>0</v>
      </c>
      <c r="O27" s="54">
        <f t="shared" si="13"/>
        <v>0</v>
      </c>
      <c r="P27" s="1"/>
    </row>
    <row r="28" spans="2:16">
      <c r="B28" s="7" t="str">
        <f t="shared" si="14"/>
        <v/>
      </c>
      <c r="C28" s="50">
        <f>IF(D11="","-",+C27+1)</f>
        <v>2035</v>
      </c>
      <c r="D28" s="55">
        <f>IF(F27+SUM(E$17:E27)=D$10,F27,D$10-SUM(E$17:E27))</f>
        <v>1280824.8091650475</v>
      </c>
      <c r="E28" s="56">
        <f t="shared" si="6"/>
        <v>46575.447368421053</v>
      </c>
      <c r="F28" s="55">
        <f t="shared" si="7"/>
        <v>1234249.3617966264</v>
      </c>
      <c r="G28" s="57">
        <f t="shared" si="8"/>
        <v>189439.82696189894</v>
      </c>
      <c r="H28" s="42">
        <f t="shared" si="9"/>
        <v>189439.82696189894</v>
      </c>
      <c r="I28" s="52">
        <f t="shared" si="10"/>
        <v>0</v>
      </c>
      <c r="J28" s="52"/>
      <c r="K28" s="115"/>
      <c r="L28" s="54">
        <f t="shared" si="11"/>
        <v>0</v>
      </c>
      <c r="M28" s="115"/>
      <c r="N28" s="54">
        <f t="shared" si="12"/>
        <v>0</v>
      </c>
      <c r="O28" s="54">
        <f t="shared" si="13"/>
        <v>0</v>
      </c>
      <c r="P28" s="1"/>
    </row>
    <row r="29" spans="2:16">
      <c r="B29" s="7" t="str">
        <f t="shared" si="14"/>
        <v/>
      </c>
      <c r="C29" s="50">
        <f>IF(D11="","-",+C28+1)</f>
        <v>2036</v>
      </c>
      <c r="D29" s="55">
        <f>IF(F28+SUM(E$17:E28)=D$10,F28,D$10-SUM(E$17:E28))</f>
        <v>1234249.3617966264</v>
      </c>
      <c r="E29" s="56">
        <f t="shared" si="6"/>
        <v>46575.447368421053</v>
      </c>
      <c r="F29" s="55">
        <f t="shared" si="7"/>
        <v>1187673.9144282052</v>
      </c>
      <c r="G29" s="57">
        <f t="shared" si="8"/>
        <v>184148.55367111252</v>
      </c>
      <c r="H29" s="42">
        <f t="shared" si="9"/>
        <v>184148.55367111252</v>
      </c>
      <c r="I29" s="52">
        <f t="shared" si="10"/>
        <v>0</v>
      </c>
      <c r="J29" s="52"/>
      <c r="K29" s="115"/>
      <c r="L29" s="54">
        <f t="shared" si="11"/>
        <v>0</v>
      </c>
      <c r="M29" s="115"/>
      <c r="N29" s="54">
        <f t="shared" si="12"/>
        <v>0</v>
      </c>
      <c r="O29" s="54">
        <f t="shared" si="13"/>
        <v>0</v>
      </c>
      <c r="P29" s="1"/>
    </row>
    <row r="30" spans="2:16">
      <c r="B30" s="7" t="str">
        <f t="shared" si="14"/>
        <v/>
      </c>
      <c r="C30" s="50">
        <f>IF(D11="","-",+C29+1)</f>
        <v>2037</v>
      </c>
      <c r="D30" s="55">
        <f>IF(F29+SUM(E$17:E29)=D$10,F29,D$10-SUM(E$17:E29))</f>
        <v>1187673.9144282052</v>
      </c>
      <c r="E30" s="56">
        <f t="shared" si="6"/>
        <v>46575.447368421053</v>
      </c>
      <c r="F30" s="55">
        <f t="shared" si="7"/>
        <v>1141098.4670597841</v>
      </c>
      <c r="G30" s="57">
        <f t="shared" si="8"/>
        <v>178857.28038032609</v>
      </c>
      <c r="H30" s="42">
        <f t="shared" si="9"/>
        <v>178857.28038032609</v>
      </c>
      <c r="I30" s="52">
        <f t="shared" si="10"/>
        <v>0</v>
      </c>
      <c r="J30" s="52"/>
      <c r="K30" s="115"/>
      <c r="L30" s="54">
        <f t="shared" si="11"/>
        <v>0</v>
      </c>
      <c r="M30" s="115"/>
      <c r="N30" s="54">
        <f t="shared" si="12"/>
        <v>0</v>
      </c>
      <c r="O30" s="54">
        <f t="shared" si="13"/>
        <v>0</v>
      </c>
      <c r="P30" s="1"/>
    </row>
    <row r="31" spans="2:16">
      <c r="B31" s="7" t="str">
        <f t="shared" si="14"/>
        <v/>
      </c>
      <c r="C31" s="50">
        <f>IF(D11="","-",+C30+1)</f>
        <v>2038</v>
      </c>
      <c r="D31" s="55">
        <f>IF(F30+SUM(E$17:E30)=D$10,F30,D$10-SUM(E$17:E30))</f>
        <v>1141098.4670597841</v>
      </c>
      <c r="E31" s="56">
        <f t="shared" si="6"/>
        <v>46575.447368421053</v>
      </c>
      <c r="F31" s="55">
        <f t="shared" si="7"/>
        <v>1094523.019691363</v>
      </c>
      <c r="G31" s="57">
        <f t="shared" si="8"/>
        <v>173566.00708953966</v>
      </c>
      <c r="H31" s="42">
        <f t="shared" si="9"/>
        <v>173566.00708953966</v>
      </c>
      <c r="I31" s="52">
        <f t="shared" si="10"/>
        <v>0</v>
      </c>
      <c r="J31" s="52"/>
      <c r="K31" s="115"/>
      <c r="L31" s="54">
        <f t="shared" si="11"/>
        <v>0</v>
      </c>
      <c r="M31" s="115"/>
      <c r="N31" s="54">
        <f t="shared" si="12"/>
        <v>0</v>
      </c>
      <c r="O31" s="54">
        <f t="shared" si="13"/>
        <v>0</v>
      </c>
      <c r="P31" s="1"/>
    </row>
    <row r="32" spans="2:16">
      <c r="B32" s="7" t="str">
        <f t="shared" si="14"/>
        <v/>
      </c>
      <c r="C32" s="50">
        <f>IF(D11="","-",+C31+1)</f>
        <v>2039</v>
      </c>
      <c r="D32" s="55">
        <f>IF(F31+SUM(E$17:E31)=D$10,F31,D$10-SUM(E$17:E31))</f>
        <v>1094523.019691363</v>
      </c>
      <c r="E32" s="56">
        <f t="shared" si="6"/>
        <v>46575.447368421053</v>
      </c>
      <c r="F32" s="55">
        <f t="shared" si="7"/>
        <v>1047947.572322942</v>
      </c>
      <c r="G32" s="57">
        <f t="shared" si="8"/>
        <v>168274.73379875324</v>
      </c>
      <c r="H32" s="42">
        <f t="shared" si="9"/>
        <v>168274.73379875324</v>
      </c>
      <c r="I32" s="52">
        <f t="shared" si="10"/>
        <v>0</v>
      </c>
      <c r="J32" s="52"/>
      <c r="K32" s="115"/>
      <c r="L32" s="54">
        <f t="shared" si="11"/>
        <v>0</v>
      </c>
      <c r="M32" s="115"/>
      <c r="N32" s="54">
        <f t="shared" si="12"/>
        <v>0</v>
      </c>
      <c r="O32" s="54">
        <f t="shared" si="13"/>
        <v>0</v>
      </c>
      <c r="P32" s="1"/>
    </row>
    <row r="33" spans="2:16">
      <c r="B33" s="7" t="str">
        <f t="shared" si="14"/>
        <v/>
      </c>
      <c r="C33" s="50">
        <f>IF(D11="","-",+C32+1)</f>
        <v>2040</v>
      </c>
      <c r="D33" s="55">
        <f>IF(F32+SUM(E$17:E32)=D$10,F32,D$10-SUM(E$17:E32))</f>
        <v>1047947.572322942</v>
      </c>
      <c r="E33" s="56">
        <f t="shared" si="6"/>
        <v>46575.447368421053</v>
      </c>
      <c r="F33" s="55">
        <f t="shared" si="7"/>
        <v>1001372.124954521</v>
      </c>
      <c r="G33" s="57">
        <f t="shared" si="8"/>
        <v>162983.46050796681</v>
      </c>
      <c r="H33" s="42">
        <f t="shared" si="9"/>
        <v>162983.46050796681</v>
      </c>
      <c r="I33" s="52">
        <f t="shared" si="10"/>
        <v>0</v>
      </c>
      <c r="J33" s="52"/>
      <c r="K33" s="115"/>
      <c r="L33" s="54">
        <f t="shared" si="11"/>
        <v>0</v>
      </c>
      <c r="M33" s="115"/>
      <c r="N33" s="54">
        <f t="shared" si="12"/>
        <v>0</v>
      </c>
      <c r="O33" s="54">
        <f t="shared" si="13"/>
        <v>0</v>
      </c>
      <c r="P33" s="1"/>
    </row>
    <row r="34" spans="2:16">
      <c r="B34" s="7" t="str">
        <f t="shared" si="14"/>
        <v/>
      </c>
      <c r="C34" s="50">
        <f>IF(D11="","-",+C33+1)</f>
        <v>2041</v>
      </c>
      <c r="D34" s="55">
        <f>IF(F33+SUM(E$17:E33)=D$10,F33,D$10-SUM(E$17:E33))</f>
        <v>1001372.124954521</v>
      </c>
      <c r="E34" s="56">
        <f t="shared" si="6"/>
        <v>46575.447368421053</v>
      </c>
      <c r="F34" s="55">
        <f t="shared" si="7"/>
        <v>954796.67758609995</v>
      </c>
      <c r="G34" s="57">
        <f t="shared" si="8"/>
        <v>157692.18721718038</v>
      </c>
      <c r="H34" s="42">
        <f t="shared" si="9"/>
        <v>157692.18721718038</v>
      </c>
      <c r="I34" s="52">
        <f t="shared" si="10"/>
        <v>0</v>
      </c>
      <c r="J34" s="52"/>
      <c r="K34" s="115"/>
      <c r="L34" s="54">
        <f t="shared" si="11"/>
        <v>0</v>
      </c>
      <c r="M34" s="115"/>
      <c r="N34" s="54">
        <f t="shared" si="12"/>
        <v>0</v>
      </c>
      <c r="O34" s="54">
        <f t="shared" si="13"/>
        <v>0</v>
      </c>
      <c r="P34" s="1"/>
    </row>
    <row r="35" spans="2:16">
      <c r="B35" s="7" t="str">
        <f t="shared" si="14"/>
        <v/>
      </c>
      <c r="C35" s="50">
        <f>IF(D11="","-",+C34+1)</f>
        <v>2042</v>
      </c>
      <c r="D35" s="55">
        <f>IF(F34+SUM(E$17:E34)=D$10,F34,D$10-SUM(E$17:E34))</f>
        <v>954796.67758609995</v>
      </c>
      <c r="E35" s="56">
        <f t="shared" si="6"/>
        <v>46575.447368421053</v>
      </c>
      <c r="F35" s="55">
        <f t="shared" si="7"/>
        <v>908221.23021767894</v>
      </c>
      <c r="G35" s="57">
        <f t="shared" si="8"/>
        <v>152400.91392639396</v>
      </c>
      <c r="H35" s="42">
        <f t="shared" si="9"/>
        <v>152400.91392639396</v>
      </c>
      <c r="I35" s="52">
        <f t="shared" si="10"/>
        <v>0</v>
      </c>
      <c r="J35" s="52"/>
      <c r="K35" s="115"/>
      <c r="L35" s="54">
        <f t="shared" si="11"/>
        <v>0</v>
      </c>
      <c r="M35" s="115"/>
      <c r="N35" s="54">
        <f t="shared" si="12"/>
        <v>0</v>
      </c>
      <c r="O35" s="54">
        <f t="shared" si="13"/>
        <v>0</v>
      </c>
      <c r="P35" s="1"/>
    </row>
    <row r="36" spans="2:16">
      <c r="B36" s="7" t="str">
        <f t="shared" si="14"/>
        <v/>
      </c>
      <c r="C36" s="50">
        <f>IF(D11="","-",+C35+1)</f>
        <v>2043</v>
      </c>
      <c r="D36" s="55">
        <f>IF(F35+SUM(E$17:E35)=D$10,F35,D$10-SUM(E$17:E35))</f>
        <v>908221.23021767894</v>
      </c>
      <c r="E36" s="56">
        <f t="shared" si="6"/>
        <v>46575.447368421053</v>
      </c>
      <c r="F36" s="55">
        <f t="shared" si="7"/>
        <v>861645.78284925793</v>
      </c>
      <c r="G36" s="57">
        <f t="shared" si="8"/>
        <v>147109.64063560753</v>
      </c>
      <c r="H36" s="42">
        <f t="shared" si="9"/>
        <v>147109.64063560753</v>
      </c>
      <c r="I36" s="52">
        <f t="shared" si="10"/>
        <v>0</v>
      </c>
      <c r="J36" s="52"/>
      <c r="K36" s="115"/>
      <c r="L36" s="54">
        <f t="shared" si="11"/>
        <v>0</v>
      </c>
      <c r="M36" s="115"/>
      <c r="N36" s="54">
        <f t="shared" si="12"/>
        <v>0</v>
      </c>
      <c r="O36" s="54">
        <f t="shared" si="13"/>
        <v>0</v>
      </c>
      <c r="P36" s="1"/>
    </row>
    <row r="37" spans="2:16">
      <c r="B37" s="7" t="str">
        <f t="shared" si="14"/>
        <v/>
      </c>
      <c r="C37" s="50">
        <f>IF(D11="","-",+C36+1)</f>
        <v>2044</v>
      </c>
      <c r="D37" s="55">
        <f>IF(F36+SUM(E$17:E36)=D$10,F36,D$10-SUM(E$17:E36))</f>
        <v>861645.78284925793</v>
      </c>
      <c r="E37" s="56">
        <f t="shared" si="6"/>
        <v>46575.447368421053</v>
      </c>
      <c r="F37" s="55">
        <f t="shared" si="7"/>
        <v>815070.33548083692</v>
      </c>
      <c r="G37" s="57">
        <f t="shared" si="8"/>
        <v>141818.36734482113</v>
      </c>
      <c r="H37" s="42">
        <f t="shared" si="9"/>
        <v>141818.36734482113</v>
      </c>
      <c r="I37" s="52">
        <f t="shared" si="10"/>
        <v>0</v>
      </c>
      <c r="J37" s="52"/>
      <c r="K37" s="115"/>
      <c r="L37" s="54">
        <f t="shared" si="11"/>
        <v>0</v>
      </c>
      <c r="M37" s="115"/>
      <c r="N37" s="54">
        <f t="shared" si="12"/>
        <v>0</v>
      </c>
      <c r="O37" s="54">
        <f t="shared" si="13"/>
        <v>0</v>
      </c>
      <c r="P37" s="1"/>
    </row>
    <row r="38" spans="2:16">
      <c r="B38" s="7" t="str">
        <f t="shared" si="14"/>
        <v/>
      </c>
      <c r="C38" s="50">
        <f>IF(D11="","-",+C37+1)</f>
        <v>2045</v>
      </c>
      <c r="D38" s="55">
        <f>IF(F37+SUM(E$17:E37)=D$10,F37,D$10-SUM(E$17:E37))</f>
        <v>815070.33548083692</v>
      </c>
      <c r="E38" s="56">
        <f t="shared" si="6"/>
        <v>46575.447368421053</v>
      </c>
      <c r="F38" s="55">
        <f t="shared" si="7"/>
        <v>768494.88811241591</v>
      </c>
      <c r="G38" s="57">
        <f t="shared" si="8"/>
        <v>136527.09405403471</v>
      </c>
      <c r="H38" s="42">
        <f t="shared" si="9"/>
        <v>136527.09405403471</v>
      </c>
      <c r="I38" s="52">
        <f t="shared" si="10"/>
        <v>0</v>
      </c>
      <c r="J38" s="52"/>
      <c r="K38" s="115"/>
      <c r="L38" s="54">
        <f t="shared" si="11"/>
        <v>0</v>
      </c>
      <c r="M38" s="115"/>
      <c r="N38" s="54">
        <f t="shared" si="12"/>
        <v>0</v>
      </c>
      <c r="O38" s="54">
        <f t="shared" si="13"/>
        <v>0</v>
      </c>
      <c r="P38" s="1"/>
    </row>
    <row r="39" spans="2:16">
      <c r="B39" s="7" t="str">
        <f t="shared" si="14"/>
        <v/>
      </c>
      <c r="C39" s="50">
        <f>IF(D11="","-",+C38+1)</f>
        <v>2046</v>
      </c>
      <c r="D39" s="55">
        <f>IF(F38+SUM(E$17:E38)=D$10,F38,D$10-SUM(E$17:E38))</f>
        <v>768494.88811241591</v>
      </c>
      <c r="E39" s="56">
        <f t="shared" si="6"/>
        <v>46575.447368421053</v>
      </c>
      <c r="F39" s="55">
        <f t="shared" si="7"/>
        <v>721919.4407439949</v>
      </c>
      <c r="G39" s="57">
        <f t="shared" si="8"/>
        <v>131235.82076324831</v>
      </c>
      <c r="H39" s="42">
        <f t="shared" si="9"/>
        <v>131235.82076324831</v>
      </c>
      <c r="I39" s="52">
        <f t="shared" si="10"/>
        <v>0</v>
      </c>
      <c r="J39" s="52"/>
      <c r="K39" s="115"/>
      <c r="L39" s="54">
        <f t="shared" si="11"/>
        <v>0</v>
      </c>
      <c r="M39" s="115"/>
      <c r="N39" s="54">
        <f t="shared" si="12"/>
        <v>0</v>
      </c>
      <c r="O39" s="54">
        <f t="shared" si="13"/>
        <v>0</v>
      </c>
      <c r="P39" s="1"/>
    </row>
    <row r="40" spans="2:16">
      <c r="B40" s="7" t="str">
        <f t="shared" si="14"/>
        <v/>
      </c>
      <c r="C40" s="50">
        <f>IF(D11="","-",+C39+1)</f>
        <v>2047</v>
      </c>
      <c r="D40" s="55">
        <f>IF(F39+SUM(E$17:E39)=D$10,F39,D$10-SUM(E$17:E39))</f>
        <v>721919.4407439949</v>
      </c>
      <c r="E40" s="56">
        <f t="shared" si="6"/>
        <v>46575.447368421053</v>
      </c>
      <c r="F40" s="55">
        <f t="shared" si="7"/>
        <v>675343.99337557389</v>
      </c>
      <c r="G40" s="57">
        <f t="shared" si="8"/>
        <v>125944.54747246187</v>
      </c>
      <c r="H40" s="42">
        <f t="shared" si="9"/>
        <v>125944.54747246187</v>
      </c>
      <c r="I40" s="52">
        <f t="shared" si="10"/>
        <v>0</v>
      </c>
      <c r="J40" s="52"/>
      <c r="K40" s="115"/>
      <c r="L40" s="54">
        <f t="shared" si="11"/>
        <v>0</v>
      </c>
      <c r="M40" s="115"/>
      <c r="N40" s="54">
        <f t="shared" si="12"/>
        <v>0</v>
      </c>
      <c r="O40" s="54">
        <f t="shared" si="13"/>
        <v>0</v>
      </c>
      <c r="P40" s="1"/>
    </row>
    <row r="41" spans="2:16">
      <c r="B41" s="7" t="str">
        <f t="shared" si="14"/>
        <v/>
      </c>
      <c r="C41" s="50">
        <f>IF(D11="","-",+C40+1)</f>
        <v>2048</v>
      </c>
      <c r="D41" s="55">
        <f>IF(F40+SUM(E$17:E40)=D$10,F40,D$10-SUM(E$17:E40))</f>
        <v>675343.99337557389</v>
      </c>
      <c r="E41" s="56">
        <f t="shared" si="6"/>
        <v>46575.447368421053</v>
      </c>
      <c r="F41" s="55">
        <f t="shared" si="7"/>
        <v>628768.54600715288</v>
      </c>
      <c r="G41" s="57">
        <f t="shared" si="8"/>
        <v>120653.27418167546</v>
      </c>
      <c r="H41" s="42">
        <f t="shared" si="9"/>
        <v>120653.27418167546</v>
      </c>
      <c r="I41" s="52">
        <f t="shared" si="10"/>
        <v>0</v>
      </c>
      <c r="J41" s="52"/>
      <c r="K41" s="115"/>
      <c r="L41" s="54">
        <f t="shared" si="11"/>
        <v>0</v>
      </c>
      <c r="M41" s="115"/>
      <c r="N41" s="54">
        <f t="shared" si="12"/>
        <v>0</v>
      </c>
      <c r="O41" s="54">
        <f t="shared" si="13"/>
        <v>0</v>
      </c>
      <c r="P41" s="1"/>
    </row>
    <row r="42" spans="2:16">
      <c r="B42" s="7" t="str">
        <f t="shared" si="14"/>
        <v/>
      </c>
      <c r="C42" s="50">
        <f>IF(D11="","-",+C41+1)</f>
        <v>2049</v>
      </c>
      <c r="D42" s="55">
        <f>IF(F41+SUM(E$17:E41)=D$10,F41,D$10-SUM(E$17:E41))</f>
        <v>628768.54600715288</v>
      </c>
      <c r="E42" s="56">
        <f t="shared" si="6"/>
        <v>46575.447368421053</v>
      </c>
      <c r="F42" s="55">
        <f t="shared" si="7"/>
        <v>582193.09863873187</v>
      </c>
      <c r="G42" s="57">
        <f t="shared" si="8"/>
        <v>115362.00089088903</v>
      </c>
      <c r="H42" s="42">
        <f t="shared" si="9"/>
        <v>115362.00089088903</v>
      </c>
      <c r="I42" s="52">
        <f t="shared" si="10"/>
        <v>0</v>
      </c>
      <c r="J42" s="52"/>
      <c r="K42" s="115"/>
      <c r="L42" s="54">
        <f t="shared" si="11"/>
        <v>0</v>
      </c>
      <c r="M42" s="115"/>
      <c r="N42" s="54">
        <f t="shared" si="12"/>
        <v>0</v>
      </c>
      <c r="O42" s="54">
        <f t="shared" si="13"/>
        <v>0</v>
      </c>
      <c r="P42" s="1"/>
    </row>
    <row r="43" spans="2:16">
      <c r="B43" s="7" t="str">
        <f t="shared" si="14"/>
        <v/>
      </c>
      <c r="C43" s="50">
        <f>IF(D11="","-",+C42+1)</f>
        <v>2050</v>
      </c>
      <c r="D43" s="55">
        <f>IF(F42+SUM(E$17:E42)=D$10,F42,D$10-SUM(E$17:E42))</f>
        <v>582193.09863873187</v>
      </c>
      <c r="E43" s="56">
        <f t="shared" si="6"/>
        <v>46575.447368421053</v>
      </c>
      <c r="F43" s="55">
        <f t="shared" si="7"/>
        <v>535617.65127031086</v>
      </c>
      <c r="G43" s="57">
        <f t="shared" si="8"/>
        <v>110070.72760010262</v>
      </c>
      <c r="H43" s="42">
        <f t="shared" si="9"/>
        <v>110070.72760010262</v>
      </c>
      <c r="I43" s="52">
        <f t="shared" si="10"/>
        <v>0</v>
      </c>
      <c r="J43" s="52"/>
      <c r="K43" s="115"/>
      <c r="L43" s="54">
        <f t="shared" si="11"/>
        <v>0</v>
      </c>
      <c r="M43" s="115"/>
      <c r="N43" s="54">
        <f t="shared" si="12"/>
        <v>0</v>
      </c>
      <c r="O43" s="54">
        <f t="shared" si="13"/>
        <v>0</v>
      </c>
      <c r="P43" s="1"/>
    </row>
    <row r="44" spans="2:16">
      <c r="B44" s="7" t="str">
        <f t="shared" si="14"/>
        <v/>
      </c>
      <c r="C44" s="50">
        <f>IF(D11="","-",+C43+1)</f>
        <v>2051</v>
      </c>
      <c r="D44" s="55">
        <f>IF(F43+SUM(E$17:E43)=D$10,F43,D$10-SUM(E$17:E43))</f>
        <v>535617.65127031086</v>
      </c>
      <c r="E44" s="56">
        <f t="shared" si="6"/>
        <v>46575.447368421053</v>
      </c>
      <c r="F44" s="55">
        <f t="shared" si="7"/>
        <v>489042.20390188979</v>
      </c>
      <c r="G44" s="57">
        <f t="shared" si="8"/>
        <v>104779.45430931619</v>
      </c>
      <c r="H44" s="42">
        <f t="shared" si="9"/>
        <v>104779.45430931619</v>
      </c>
      <c r="I44" s="52">
        <f t="shared" si="10"/>
        <v>0</v>
      </c>
      <c r="J44" s="52"/>
      <c r="K44" s="115"/>
      <c r="L44" s="54">
        <f t="shared" si="11"/>
        <v>0</v>
      </c>
      <c r="M44" s="115"/>
      <c r="N44" s="54">
        <f t="shared" si="12"/>
        <v>0</v>
      </c>
      <c r="O44" s="54">
        <f t="shared" si="13"/>
        <v>0</v>
      </c>
      <c r="P44" s="1"/>
    </row>
    <row r="45" spans="2:16">
      <c r="B45" s="7" t="str">
        <f t="shared" si="14"/>
        <v/>
      </c>
      <c r="C45" s="50">
        <f>IF(D11="","-",+C44+1)</f>
        <v>2052</v>
      </c>
      <c r="D45" s="55">
        <f>IF(F44+SUM(E$17:E44)=D$10,F44,D$10-SUM(E$17:E44))</f>
        <v>489042.20390188979</v>
      </c>
      <c r="E45" s="56">
        <f t="shared" si="6"/>
        <v>46575.447368421053</v>
      </c>
      <c r="F45" s="55">
        <f t="shared" si="7"/>
        <v>442466.75653346872</v>
      </c>
      <c r="G45" s="57">
        <f t="shared" si="8"/>
        <v>99488.18101852978</v>
      </c>
      <c r="H45" s="42">
        <f t="shared" si="9"/>
        <v>99488.18101852978</v>
      </c>
      <c r="I45" s="52">
        <f t="shared" si="10"/>
        <v>0</v>
      </c>
      <c r="J45" s="52"/>
      <c r="K45" s="115"/>
      <c r="L45" s="54">
        <f t="shared" si="11"/>
        <v>0</v>
      </c>
      <c r="M45" s="115"/>
      <c r="N45" s="54">
        <f t="shared" si="12"/>
        <v>0</v>
      </c>
      <c r="O45" s="54">
        <f t="shared" si="13"/>
        <v>0</v>
      </c>
      <c r="P45" s="1"/>
    </row>
    <row r="46" spans="2:16">
      <c r="B46" s="7" t="str">
        <f t="shared" si="14"/>
        <v/>
      </c>
      <c r="C46" s="50">
        <f>IF(D11="","-",+C45+1)</f>
        <v>2053</v>
      </c>
      <c r="D46" s="55">
        <f>IF(F45+SUM(E$17:E45)=D$10,F45,D$10-SUM(E$17:E45))</f>
        <v>442466.75653346872</v>
      </c>
      <c r="E46" s="56">
        <f t="shared" si="6"/>
        <v>46575.447368421053</v>
      </c>
      <c r="F46" s="55">
        <f t="shared" si="7"/>
        <v>395891.30916504766</v>
      </c>
      <c r="G46" s="57">
        <f t="shared" si="8"/>
        <v>94196.907727743339</v>
      </c>
      <c r="H46" s="42">
        <f t="shared" si="9"/>
        <v>94196.907727743339</v>
      </c>
      <c r="I46" s="52">
        <f t="shared" si="10"/>
        <v>0</v>
      </c>
      <c r="J46" s="52"/>
      <c r="K46" s="115"/>
      <c r="L46" s="54">
        <f t="shared" si="11"/>
        <v>0</v>
      </c>
      <c r="M46" s="115"/>
      <c r="N46" s="54">
        <f t="shared" si="12"/>
        <v>0</v>
      </c>
      <c r="O46" s="54">
        <f t="shared" si="13"/>
        <v>0</v>
      </c>
      <c r="P46" s="1"/>
    </row>
    <row r="47" spans="2:16">
      <c r="B47" s="7" t="str">
        <f t="shared" si="14"/>
        <v/>
      </c>
      <c r="C47" s="50">
        <f>IF(D11="","-",+C46+1)</f>
        <v>2054</v>
      </c>
      <c r="D47" s="55">
        <f>IF(F46+SUM(E$17:E46)=D$10,F46,D$10-SUM(E$17:E46))</f>
        <v>395891.30916504766</v>
      </c>
      <c r="E47" s="56">
        <f t="shared" si="6"/>
        <v>46575.447368421053</v>
      </c>
      <c r="F47" s="55">
        <f t="shared" si="7"/>
        <v>349315.86179662659</v>
      </c>
      <c r="G47" s="57">
        <f t="shared" si="8"/>
        <v>88905.634436956927</v>
      </c>
      <c r="H47" s="42">
        <f t="shared" si="9"/>
        <v>88905.634436956927</v>
      </c>
      <c r="I47" s="52">
        <f t="shared" si="10"/>
        <v>0</v>
      </c>
      <c r="J47" s="52"/>
      <c r="K47" s="115"/>
      <c r="L47" s="54">
        <f t="shared" si="11"/>
        <v>0</v>
      </c>
      <c r="M47" s="115"/>
      <c r="N47" s="54">
        <f t="shared" si="12"/>
        <v>0</v>
      </c>
      <c r="O47" s="54">
        <f t="shared" si="13"/>
        <v>0</v>
      </c>
      <c r="P47" s="1"/>
    </row>
    <row r="48" spans="2:16">
      <c r="B48" s="7" t="str">
        <f t="shared" si="14"/>
        <v/>
      </c>
      <c r="C48" s="50">
        <f>IF(D11="","-",+C47+1)</f>
        <v>2055</v>
      </c>
      <c r="D48" s="55">
        <f>IF(F47+SUM(E$17:E47)=D$10,F47,D$10-SUM(E$17:E47))</f>
        <v>349315.86179662659</v>
      </c>
      <c r="E48" s="56">
        <f t="shared" si="6"/>
        <v>46575.447368421053</v>
      </c>
      <c r="F48" s="55">
        <f t="shared" si="7"/>
        <v>302740.41442820552</v>
      </c>
      <c r="G48" s="57">
        <f t="shared" si="8"/>
        <v>83614.361146170486</v>
      </c>
      <c r="H48" s="42">
        <f t="shared" si="9"/>
        <v>83614.361146170486</v>
      </c>
      <c r="I48" s="52">
        <f t="shared" si="10"/>
        <v>0</v>
      </c>
      <c r="J48" s="52"/>
      <c r="K48" s="115"/>
      <c r="L48" s="54">
        <f t="shared" si="11"/>
        <v>0</v>
      </c>
      <c r="M48" s="115"/>
      <c r="N48" s="54">
        <f t="shared" si="12"/>
        <v>0</v>
      </c>
      <c r="O48" s="54">
        <f t="shared" si="13"/>
        <v>0</v>
      </c>
      <c r="P48" s="1"/>
    </row>
    <row r="49" spans="2:16">
      <c r="B49" s="7" t="str">
        <f t="shared" si="14"/>
        <v/>
      </c>
      <c r="C49" s="50">
        <f>IF(D11="","-",+C48+1)</f>
        <v>2056</v>
      </c>
      <c r="D49" s="55">
        <f>IF(F48+SUM(E$17:E48)=D$10,F48,D$10-SUM(E$17:E48))</f>
        <v>302740.41442820552</v>
      </c>
      <c r="E49" s="56">
        <f t="shared" si="6"/>
        <v>46575.447368421053</v>
      </c>
      <c r="F49" s="55">
        <f t="shared" si="7"/>
        <v>256164.96705978445</v>
      </c>
      <c r="G49" s="57">
        <f t="shared" si="8"/>
        <v>78323.087855384074</v>
      </c>
      <c r="H49" s="42">
        <f t="shared" si="9"/>
        <v>78323.087855384074</v>
      </c>
      <c r="I49" s="52">
        <f t="shared" si="10"/>
        <v>0</v>
      </c>
      <c r="J49" s="52"/>
      <c r="K49" s="115"/>
      <c r="L49" s="54">
        <f t="shared" si="11"/>
        <v>0</v>
      </c>
      <c r="M49" s="115"/>
      <c r="N49" s="54">
        <f t="shared" si="12"/>
        <v>0</v>
      </c>
      <c r="O49" s="54">
        <f t="shared" si="13"/>
        <v>0</v>
      </c>
      <c r="P49" s="1"/>
    </row>
    <row r="50" spans="2:16">
      <c r="B50" s="7" t="str">
        <f t="shared" si="14"/>
        <v/>
      </c>
      <c r="C50" s="50">
        <f>IF(D11="","-",+C49+1)</f>
        <v>2057</v>
      </c>
      <c r="D50" s="55">
        <f>IF(F49+SUM(E$17:E49)=D$10,F49,D$10-SUM(E$17:E49))</f>
        <v>256164.96705978445</v>
      </c>
      <c r="E50" s="56">
        <f t="shared" si="6"/>
        <v>46575.447368421053</v>
      </c>
      <c r="F50" s="55">
        <f t="shared" si="7"/>
        <v>209589.51969136338</v>
      </c>
      <c r="G50" s="57">
        <f t="shared" si="8"/>
        <v>73031.814564597647</v>
      </c>
      <c r="H50" s="42">
        <f t="shared" si="9"/>
        <v>73031.814564597647</v>
      </c>
      <c r="I50" s="52">
        <f t="shared" si="10"/>
        <v>0</v>
      </c>
      <c r="J50" s="52"/>
      <c r="K50" s="115"/>
      <c r="L50" s="54">
        <f t="shared" si="11"/>
        <v>0</v>
      </c>
      <c r="M50" s="115"/>
      <c r="N50" s="54">
        <f t="shared" si="12"/>
        <v>0</v>
      </c>
      <c r="O50" s="54">
        <f t="shared" si="13"/>
        <v>0</v>
      </c>
      <c r="P50" s="1"/>
    </row>
    <row r="51" spans="2:16">
      <c r="B51" s="7" t="str">
        <f t="shared" si="14"/>
        <v/>
      </c>
      <c r="C51" s="50">
        <f>IF(D11="","-",+C50+1)</f>
        <v>2058</v>
      </c>
      <c r="D51" s="55">
        <f>IF(F50+SUM(E$17:E50)=D$10,F50,D$10-SUM(E$17:E50))</f>
        <v>209589.51969136338</v>
      </c>
      <c r="E51" s="56">
        <f t="shared" si="6"/>
        <v>46575.447368421053</v>
      </c>
      <c r="F51" s="55">
        <f t="shared" si="7"/>
        <v>163014.07232294232</v>
      </c>
      <c r="G51" s="57">
        <f t="shared" si="8"/>
        <v>67740.541273811221</v>
      </c>
      <c r="H51" s="42">
        <f t="shared" si="9"/>
        <v>67740.541273811221</v>
      </c>
      <c r="I51" s="52">
        <f t="shared" si="10"/>
        <v>0</v>
      </c>
      <c r="J51" s="52"/>
      <c r="K51" s="115"/>
      <c r="L51" s="54">
        <f t="shared" si="11"/>
        <v>0</v>
      </c>
      <c r="M51" s="115"/>
      <c r="N51" s="54">
        <f t="shared" si="12"/>
        <v>0</v>
      </c>
      <c r="O51" s="54">
        <f t="shared" si="13"/>
        <v>0</v>
      </c>
      <c r="P51" s="1"/>
    </row>
    <row r="52" spans="2:16">
      <c r="B52" s="7" t="str">
        <f t="shared" si="14"/>
        <v/>
      </c>
      <c r="C52" s="50">
        <f>IF(D11="","-",+C51+1)</f>
        <v>2059</v>
      </c>
      <c r="D52" s="55">
        <f>IF(F51+SUM(E$17:E51)=D$10,F51,D$10-SUM(E$17:E51))</f>
        <v>163014.07232294232</v>
      </c>
      <c r="E52" s="56">
        <f t="shared" si="6"/>
        <v>46575.447368421053</v>
      </c>
      <c r="F52" s="55">
        <f t="shared" si="7"/>
        <v>116438.62495452126</v>
      </c>
      <c r="G52" s="57">
        <f t="shared" si="8"/>
        <v>62449.267983024787</v>
      </c>
      <c r="H52" s="42">
        <f t="shared" si="9"/>
        <v>62449.267983024787</v>
      </c>
      <c r="I52" s="52">
        <f t="shared" si="10"/>
        <v>0</v>
      </c>
      <c r="J52" s="52"/>
      <c r="K52" s="115"/>
      <c r="L52" s="54">
        <f t="shared" si="11"/>
        <v>0</v>
      </c>
      <c r="M52" s="115"/>
      <c r="N52" s="54">
        <f t="shared" si="12"/>
        <v>0</v>
      </c>
      <c r="O52" s="54">
        <f t="shared" si="13"/>
        <v>0</v>
      </c>
      <c r="P52" s="1"/>
    </row>
    <row r="53" spans="2:16">
      <c r="B53" s="7" t="str">
        <f t="shared" si="14"/>
        <v/>
      </c>
      <c r="C53" s="50">
        <f>IF(D11="","-",+C52+1)</f>
        <v>2060</v>
      </c>
      <c r="D53" s="55">
        <f>IF(F52+SUM(E$17:E52)=D$10,F52,D$10-SUM(E$17:E52))</f>
        <v>116438.62495452126</v>
      </c>
      <c r="E53" s="56">
        <f t="shared" si="6"/>
        <v>46575.447368421053</v>
      </c>
      <c r="F53" s="55">
        <f t="shared" si="7"/>
        <v>69863.17758610021</v>
      </c>
      <c r="G53" s="57">
        <f t="shared" si="8"/>
        <v>57157.994692238368</v>
      </c>
      <c r="H53" s="42">
        <f t="shared" si="9"/>
        <v>57157.994692238368</v>
      </c>
      <c r="I53" s="52">
        <f t="shared" si="10"/>
        <v>0</v>
      </c>
      <c r="J53" s="52"/>
      <c r="K53" s="115"/>
      <c r="L53" s="54">
        <f t="shared" si="11"/>
        <v>0</v>
      </c>
      <c r="M53" s="115"/>
      <c r="N53" s="54">
        <f t="shared" si="12"/>
        <v>0</v>
      </c>
      <c r="O53" s="54">
        <f t="shared" si="13"/>
        <v>0</v>
      </c>
      <c r="P53" s="1"/>
    </row>
    <row r="54" spans="2:16">
      <c r="B54" s="7" t="str">
        <f t="shared" si="14"/>
        <v/>
      </c>
      <c r="C54" s="50">
        <f>IF(D11="","-",+C53+1)</f>
        <v>2061</v>
      </c>
      <c r="D54" s="55">
        <f>IF(F53+SUM(E$17:E53)=D$10,F53,D$10-SUM(E$17:E53))</f>
        <v>69863.17758610021</v>
      </c>
      <c r="E54" s="56">
        <f t="shared" si="6"/>
        <v>46575.447368421053</v>
      </c>
      <c r="F54" s="55">
        <f t="shared" si="7"/>
        <v>23287.730217679156</v>
      </c>
      <c r="G54" s="57">
        <f t="shared" si="8"/>
        <v>51866.721401451941</v>
      </c>
      <c r="H54" s="42">
        <f t="shared" si="9"/>
        <v>51866.721401451941</v>
      </c>
      <c r="I54" s="52">
        <f t="shared" si="10"/>
        <v>0</v>
      </c>
      <c r="J54" s="52"/>
      <c r="K54" s="115"/>
      <c r="L54" s="54">
        <f t="shared" si="11"/>
        <v>0</v>
      </c>
      <c r="M54" s="115"/>
      <c r="N54" s="54">
        <f t="shared" si="12"/>
        <v>0</v>
      </c>
      <c r="O54" s="54">
        <f t="shared" si="13"/>
        <v>0</v>
      </c>
      <c r="P54" s="1"/>
    </row>
    <row r="55" spans="2:16">
      <c r="B55" s="7" t="str">
        <f t="shared" si="14"/>
        <v/>
      </c>
      <c r="C55" s="50">
        <f>IF(D11="","-",+C54+1)</f>
        <v>2062</v>
      </c>
      <c r="D55" s="55">
        <f>IF(F54+SUM(E$17:E54)=D$10,F54,D$10-SUM(E$17:E54))</f>
        <v>23287.730217679156</v>
      </c>
      <c r="E55" s="56">
        <f t="shared" si="6"/>
        <v>23287.730217679156</v>
      </c>
      <c r="F55" s="55">
        <f t="shared" si="7"/>
        <v>0</v>
      </c>
      <c r="G55" s="57">
        <f t="shared" si="8"/>
        <v>24610.548911497994</v>
      </c>
      <c r="H55" s="42">
        <f t="shared" si="9"/>
        <v>24610.548911497994</v>
      </c>
      <c r="I55" s="52">
        <f t="shared" si="10"/>
        <v>0</v>
      </c>
      <c r="J55" s="52"/>
      <c r="K55" s="115"/>
      <c r="L55" s="54">
        <f t="shared" si="11"/>
        <v>0</v>
      </c>
      <c r="M55" s="115"/>
      <c r="N55" s="54">
        <f t="shared" si="12"/>
        <v>0</v>
      </c>
      <c r="O55" s="54">
        <f t="shared" si="13"/>
        <v>0</v>
      </c>
      <c r="P55" s="1"/>
    </row>
    <row r="56" spans="2:16">
      <c r="B56" s="7" t="str">
        <f t="shared" si="14"/>
        <v/>
      </c>
      <c r="C56" s="50">
        <f>IF(D11="","-",+C55+1)</f>
        <v>2063</v>
      </c>
      <c r="D56" s="55">
        <f>IF(F55+SUM(E$17:E55)=D$10,F55,D$10-SUM(E$17:E55))</f>
        <v>0</v>
      </c>
      <c r="E56" s="56">
        <f t="shared" si="6"/>
        <v>0</v>
      </c>
      <c r="F56" s="55">
        <f t="shared" si="7"/>
        <v>0</v>
      </c>
      <c r="G56" s="57">
        <f t="shared" si="8"/>
        <v>0</v>
      </c>
      <c r="H56" s="42">
        <f t="shared" si="9"/>
        <v>0</v>
      </c>
      <c r="I56" s="52">
        <f t="shared" si="10"/>
        <v>0</v>
      </c>
      <c r="J56" s="52"/>
      <c r="K56" s="115"/>
      <c r="L56" s="54">
        <f t="shared" si="11"/>
        <v>0</v>
      </c>
      <c r="M56" s="115"/>
      <c r="N56" s="54">
        <f t="shared" si="12"/>
        <v>0</v>
      </c>
      <c r="O56" s="54">
        <f t="shared" si="13"/>
        <v>0</v>
      </c>
      <c r="P56" s="1"/>
    </row>
    <row r="57" spans="2:16">
      <c r="B57" s="7" t="str">
        <f t="shared" si="14"/>
        <v/>
      </c>
      <c r="C57" s="50">
        <f>IF(D11="","-",+C56+1)</f>
        <v>2064</v>
      </c>
      <c r="D57" s="55">
        <f>IF(F56+SUM(E$17:E56)=D$10,F56,D$10-SUM(E$17:E56))</f>
        <v>0</v>
      </c>
      <c r="E57" s="56">
        <f t="shared" si="6"/>
        <v>0</v>
      </c>
      <c r="F57" s="55">
        <f t="shared" si="7"/>
        <v>0</v>
      </c>
      <c r="G57" s="57">
        <f t="shared" si="8"/>
        <v>0</v>
      </c>
      <c r="H57" s="42">
        <f t="shared" si="9"/>
        <v>0</v>
      </c>
      <c r="I57" s="52">
        <f t="shared" si="10"/>
        <v>0</v>
      </c>
      <c r="J57" s="52"/>
      <c r="K57" s="115"/>
      <c r="L57" s="54">
        <f t="shared" si="11"/>
        <v>0</v>
      </c>
      <c r="M57" s="115"/>
      <c r="N57" s="54">
        <f t="shared" si="12"/>
        <v>0</v>
      </c>
      <c r="O57" s="54">
        <f t="shared" si="13"/>
        <v>0</v>
      </c>
      <c r="P57" s="1"/>
    </row>
    <row r="58" spans="2:16">
      <c r="B58" s="7" t="str">
        <f t="shared" si="14"/>
        <v/>
      </c>
      <c r="C58" s="50">
        <f>IF(D11="","-",+C57+1)</f>
        <v>2065</v>
      </c>
      <c r="D58" s="55">
        <f>IF(F57+SUM(E$17:E57)=D$10,F57,D$10-SUM(E$17:E57))</f>
        <v>0</v>
      </c>
      <c r="E58" s="56">
        <f t="shared" si="6"/>
        <v>0</v>
      </c>
      <c r="F58" s="55">
        <f t="shared" si="7"/>
        <v>0</v>
      </c>
      <c r="G58" s="57">
        <f t="shared" si="8"/>
        <v>0</v>
      </c>
      <c r="H58" s="42">
        <f t="shared" si="9"/>
        <v>0</v>
      </c>
      <c r="I58" s="52">
        <f t="shared" si="10"/>
        <v>0</v>
      </c>
      <c r="J58" s="52"/>
      <c r="K58" s="115"/>
      <c r="L58" s="54">
        <f t="shared" si="11"/>
        <v>0</v>
      </c>
      <c r="M58" s="115"/>
      <c r="N58" s="54">
        <f t="shared" si="12"/>
        <v>0</v>
      </c>
      <c r="O58" s="54">
        <f t="shared" si="13"/>
        <v>0</v>
      </c>
      <c r="P58" s="1"/>
    </row>
    <row r="59" spans="2:16">
      <c r="B59" s="7" t="str">
        <f t="shared" si="14"/>
        <v/>
      </c>
      <c r="C59" s="50">
        <f>IF(D11="","-",+C58+1)</f>
        <v>2066</v>
      </c>
      <c r="D59" s="55">
        <f>IF(F58+SUM(E$17:E58)=D$10,F58,D$10-SUM(E$17:E58))</f>
        <v>0</v>
      </c>
      <c r="E59" s="56">
        <f t="shared" si="6"/>
        <v>0</v>
      </c>
      <c r="F59" s="55">
        <f t="shared" si="7"/>
        <v>0</v>
      </c>
      <c r="G59" s="57">
        <f t="shared" si="8"/>
        <v>0</v>
      </c>
      <c r="H59" s="42">
        <f t="shared" si="9"/>
        <v>0</v>
      </c>
      <c r="I59" s="52">
        <f t="shared" si="10"/>
        <v>0</v>
      </c>
      <c r="J59" s="52"/>
      <c r="K59" s="115"/>
      <c r="L59" s="54">
        <f t="shared" si="11"/>
        <v>0</v>
      </c>
      <c r="M59" s="115"/>
      <c r="N59" s="54">
        <f t="shared" si="12"/>
        <v>0</v>
      </c>
      <c r="O59" s="54">
        <f t="shared" si="13"/>
        <v>0</v>
      </c>
      <c r="P59" s="1"/>
    </row>
    <row r="60" spans="2:16">
      <c r="B60" s="7" t="str">
        <f t="shared" si="14"/>
        <v/>
      </c>
      <c r="C60" s="50">
        <f>IF(D11="","-",+C59+1)</f>
        <v>2067</v>
      </c>
      <c r="D60" s="55">
        <f>IF(F59+SUM(E$17:E59)=D$10,F59,D$10-SUM(E$17:E59))</f>
        <v>0</v>
      </c>
      <c r="E60" s="56">
        <f t="shared" si="6"/>
        <v>0</v>
      </c>
      <c r="F60" s="55">
        <f t="shared" si="7"/>
        <v>0</v>
      </c>
      <c r="G60" s="57">
        <f t="shared" si="8"/>
        <v>0</v>
      </c>
      <c r="H60" s="42">
        <f t="shared" si="9"/>
        <v>0</v>
      </c>
      <c r="I60" s="52">
        <f t="shared" si="10"/>
        <v>0</v>
      </c>
      <c r="J60" s="52"/>
      <c r="K60" s="115"/>
      <c r="L60" s="54">
        <f t="shared" si="11"/>
        <v>0</v>
      </c>
      <c r="M60" s="115"/>
      <c r="N60" s="54">
        <f t="shared" si="12"/>
        <v>0</v>
      </c>
      <c r="O60" s="54">
        <f t="shared" si="13"/>
        <v>0</v>
      </c>
      <c r="P60" s="1"/>
    </row>
    <row r="61" spans="2:16">
      <c r="B61" s="7" t="str">
        <f t="shared" si="14"/>
        <v/>
      </c>
      <c r="C61" s="50">
        <f>IF(D11="","-",+C60+1)</f>
        <v>2068</v>
      </c>
      <c r="D61" s="55">
        <f>IF(F60+SUM(E$17:E60)=D$10,F60,D$10-SUM(E$17:E60))</f>
        <v>0</v>
      </c>
      <c r="E61" s="56">
        <f t="shared" si="6"/>
        <v>0</v>
      </c>
      <c r="F61" s="55">
        <f t="shared" si="7"/>
        <v>0</v>
      </c>
      <c r="G61" s="57">
        <f t="shared" si="8"/>
        <v>0</v>
      </c>
      <c r="H61" s="42">
        <f t="shared" si="9"/>
        <v>0</v>
      </c>
      <c r="I61" s="52">
        <f t="shared" si="10"/>
        <v>0</v>
      </c>
      <c r="J61" s="52"/>
      <c r="K61" s="115"/>
      <c r="L61" s="54">
        <f t="shared" si="11"/>
        <v>0</v>
      </c>
      <c r="M61" s="115"/>
      <c r="N61" s="54">
        <f t="shared" si="12"/>
        <v>0</v>
      </c>
      <c r="O61" s="54">
        <f t="shared" si="13"/>
        <v>0</v>
      </c>
      <c r="P61" s="1"/>
    </row>
    <row r="62" spans="2:16">
      <c r="B62" s="7" t="str">
        <f t="shared" si="14"/>
        <v/>
      </c>
      <c r="C62" s="50">
        <f>IF(D11="","-",+C61+1)</f>
        <v>2069</v>
      </c>
      <c r="D62" s="55">
        <f>IF(F61+SUM(E$17:E61)=D$10,F61,D$10-SUM(E$17:E61))</f>
        <v>0</v>
      </c>
      <c r="E62" s="56">
        <f t="shared" si="6"/>
        <v>0</v>
      </c>
      <c r="F62" s="55">
        <f t="shared" si="7"/>
        <v>0</v>
      </c>
      <c r="G62" s="57">
        <f t="shared" si="8"/>
        <v>0</v>
      </c>
      <c r="H62" s="42">
        <f t="shared" si="9"/>
        <v>0</v>
      </c>
      <c r="I62" s="52">
        <f t="shared" si="10"/>
        <v>0</v>
      </c>
      <c r="J62" s="52"/>
      <c r="K62" s="115"/>
      <c r="L62" s="54">
        <f t="shared" si="11"/>
        <v>0</v>
      </c>
      <c r="M62" s="115"/>
      <c r="N62" s="54">
        <f t="shared" si="12"/>
        <v>0</v>
      </c>
      <c r="O62" s="54">
        <f t="shared" si="13"/>
        <v>0</v>
      </c>
      <c r="P62" s="1"/>
    </row>
    <row r="63" spans="2:16">
      <c r="B63" s="7" t="str">
        <f t="shared" si="14"/>
        <v/>
      </c>
      <c r="C63" s="50">
        <f>IF(D11="","-",+C62+1)</f>
        <v>2070</v>
      </c>
      <c r="D63" s="55">
        <f>IF(F62+SUM(E$17:E62)=D$10,F62,D$10-SUM(E$17:E62))</f>
        <v>0</v>
      </c>
      <c r="E63" s="56">
        <f t="shared" si="6"/>
        <v>0</v>
      </c>
      <c r="F63" s="55">
        <f t="shared" si="7"/>
        <v>0</v>
      </c>
      <c r="G63" s="57">
        <f t="shared" si="8"/>
        <v>0</v>
      </c>
      <c r="H63" s="42">
        <f t="shared" si="9"/>
        <v>0</v>
      </c>
      <c r="I63" s="52">
        <f t="shared" si="10"/>
        <v>0</v>
      </c>
      <c r="J63" s="52"/>
      <c r="K63" s="115"/>
      <c r="L63" s="54">
        <f t="shared" si="11"/>
        <v>0</v>
      </c>
      <c r="M63" s="115"/>
      <c r="N63" s="54">
        <f t="shared" si="12"/>
        <v>0</v>
      </c>
      <c r="O63" s="54">
        <f t="shared" si="13"/>
        <v>0</v>
      </c>
      <c r="P63" s="1"/>
    </row>
    <row r="64" spans="2:16">
      <c r="B64" s="7" t="str">
        <f t="shared" si="14"/>
        <v/>
      </c>
      <c r="C64" s="50">
        <f>IF(D11="","-",+C63+1)</f>
        <v>2071</v>
      </c>
      <c r="D64" s="55">
        <f>IF(F63+SUM(E$17:E63)=D$10,F63,D$10-SUM(E$17:E63))</f>
        <v>0</v>
      </c>
      <c r="E64" s="56">
        <f t="shared" si="6"/>
        <v>0</v>
      </c>
      <c r="F64" s="55">
        <f t="shared" si="7"/>
        <v>0</v>
      </c>
      <c r="G64" s="57">
        <f t="shared" si="8"/>
        <v>0</v>
      </c>
      <c r="H64" s="42">
        <f t="shared" si="9"/>
        <v>0</v>
      </c>
      <c r="I64" s="52">
        <f t="shared" si="10"/>
        <v>0</v>
      </c>
      <c r="J64" s="52"/>
      <c r="K64" s="115"/>
      <c r="L64" s="54">
        <f t="shared" si="11"/>
        <v>0</v>
      </c>
      <c r="M64" s="115"/>
      <c r="N64" s="54">
        <f t="shared" si="12"/>
        <v>0</v>
      </c>
      <c r="O64" s="54">
        <f t="shared" si="13"/>
        <v>0</v>
      </c>
      <c r="P64" s="1"/>
    </row>
    <row r="65" spans="2:16">
      <c r="B65" s="7" t="str">
        <f t="shared" si="14"/>
        <v/>
      </c>
      <c r="C65" s="50">
        <f>IF(D11="","-",+C64+1)</f>
        <v>2072</v>
      </c>
      <c r="D65" s="55">
        <f>IF(F64+SUM(E$17:E64)=D$10,F64,D$10-SUM(E$17:E64))</f>
        <v>0</v>
      </c>
      <c r="E65" s="56">
        <f t="shared" si="6"/>
        <v>0</v>
      </c>
      <c r="F65" s="55">
        <f t="shared" si="7"/>
        <v>0</v>
      </c>
      <c r="G65" s="57">
        <f t="shared" si="8"/>
        <v>0</v>
      </c>
      <c r="H65" s="42">
        <f t="shared" si="9"/>
        <v>0</v>
      </c>
      <c r="I65" s="52">
        <f t="shared" si="10"/>
        <v>0</v>
      </c>
      <c r="J65" s="52"/>
      <c r="K65" s="115"/>
      <c r="L65" s="54">
        <f t="shared" si="11"/>
        <v>0</v>
      </c>
      <c r="M65" s="115"/>
      <c r="N65" s="54">
        <f t="shared" si="12"/>
        <v>0</v>
      </c>
      <c r="O65" s="54">
        <f t="shared" si="13"/>
        <v>0</v>
      </c>
      <c r="P65" s="1"/>
    </row>
    <row r="66" spans="2:16">
      <c r="B66" s="7" t="str">
        <f t="shared" si="14"/>
        <v/>
      </c>
      <c r="C66" s="50">
        <f>IF(D11="","-",+C65+1)</f>
        <v>2073</v>
      </c>
      <c r="D66" s="55">
        <f>IF(F65+SUM(E$17:E65)=D$10,F65,D$10-SUM(E$17:E65))</f>
        <v>0</v>
      </c>
      <c r="E66" s="56">
        <f t="shared" si="6"/>
        <v>0</v>
      </c>
      <c r="F66" s="55">
        <f t="shared" si="7"/>
        <v>0</v>
      </c>
      <c r="G66" s="57">
        <f t="shared" si="8"/>
        <v>0</v>
      </c>
      <c r="H66" s="42">
        <f t="shared" si="9"/>
        <v>0</v>
      </c>
      <c r="I66" s="52">
        <f t="shared" si="10"/>
        <v>0</v>
      </c>
      <c r="J66" s="52"/>
      <c r="K66" s="115"/>
      <c r="L66" s="54">
        <f t="shared" si="11"/>
        <v>0</v>
      </c>
      <c r="M66" s="115"/>
      <c r="N66" s="54">
        <f t="shared" si="12"/>
        <v>0</v>
      </c>
      <c r="O66" s="54">
        <f t="shared" si="13"/>
        <v>0</v>
      </c>
      <c r="P66" s="1"/>
    </row>
    <row r="67" spans="2:16">
      <c r="B67" s="7" t="str">
        <f t="shared" si="14"/>
        <v/>
      </c>
      <c r="C67" s="50">
        <f>IF(D11="","-",+C66+1)</f>
        <v>2074</v>
      </c>
      <c r="D67" s="55">
        <f>IF(F66+SUM(E$17:E66)=D$10,F66,D$10-SUM(E$17:E66))</f>
        <v>0</v>
      </c>
      <c r="E67" s="56">
        <f t="shared" si="6"/>
        <v>0</v>
      </c>
      <c r="F67" s="55">
        <f t="shared" si="7"/>
        <v>0</v>
      </c>
      <c r="G67" s="57">
        <f t="shared" si="8"/>
        <v>0</v>
      </c>
      <c r="H67" s="42">
        <f t="shared" si="9"/>
        <v>0</v>
      </c>
      <c r="I67" s="52">
        <f t="shared" si="10"/>
        <v>0</v>
      </c>
      <c r="J67" s="52"/>
      <c r="K67" s="115"/>
      <c r="L67" s="54">
        <f t="shared" si="11"/>
        <v>0</v>
      </c>
      <c r="M67" s="115"/>
      <c r="N67" s="54">
        <f t="shared" si="12"/>
        <v>0</v>
      </c>
      <c r="O67" s="54">
        <f t="shared" si="13"/>
        <v>0</v>
      </c>
      <c r="P67" s="1"/>
    </row>
    <row r="68" spans="2:16">
      <c r="B68" s="7" t="str">
        <f t="shared" si="14"/>
        <v/>
      </c>
      <c r="C68" s="50">
        <f>IF(D11="","-",+C67+1)</f>
        <v>2075</v>
      </c>
      <c r="D68" s="55">
        <f>IF(F67+SUM(E$17:E67)=D$10,F67,D$10-SUM(E$17:E67))</f>
        <v>0</v>
      </c>
      <c r="E68" s="56">
        <f t="shared" si="6"/>
        <v>0</v>
      </c>
      <c r="F68" s="55">
        <f t="shared" si="7"/>
        <v>0</v>
      </c>
      <c r="G68" s="57">
        <f t="shared" si="8"/>
        <v>0</v>
      </c>
      <c r="H68" s="42">
        <f t="shared" si="9"/>
        <v>0</v>
      </c>
      <c r="I68" s="52">
        <f t="shared" si="10"/>
        <v>0</v>
      </c>
      <c r="J68" s="52"/>
      <c r="K68" s="115"/>
      <c r="L68" s="54">
        <f t="shared" si="11"/>
        <v>0</v>
      </c>
      <c r="M68" s="115"/>
      <c r="N68" s="54">
        <f t="shared" si="12"/>
        <v>0</v>
      </c>
      <c r="O68" s="54">
        <f t="shared" si="13"/>
        <v>0</v>
      </c>
      <c r="P68" s="1"/>
    </row>
    <row r="69" spans="2:16">
      <c r="B69" s="7" t="str">
        <f t="shared" si="14"/>
        <v/>
      </c>
      <c r="C69" s="50">
        <f>IF(D11="","-",+C68+1)</f>
        <v>2076</v>
      </c>
      <c r="D69" s="55">
        <f>IF(F68+SUM(E$17:E68)=D$10,F68,D$10-SUM(E$17:E68))</f>
        <v>0</v>
      </c>
      <c r="E69" s="56">
        <f t="shared" si="6"/>
        <v>0</v>
      </c>
      <c r="F69" s="55">
        <f t="shared" si="7"/>
        <v>0</v>
      </c>
      <c r="G69" s="57">
        <f t="shared" si="8"/>
        <v>0</v>
      </c>
      <c r="H69" s="42">
        <f t="shared" si="9"/>
        <v>0</v>
      </c>
      <c r="I69" s="52">
        <f t="shared" si="10"/>
        <v>0</v>
      </c>
      <c r="J69" s="52"/>
      <c r="K69" s="115"/>
      <c r="L69" s="54">
        <f t="shared" si="11"/>
        <v>0</v>
      </c>
      <c r="M69" s="115"/>
      <c r="N69" s="54">
        <f t="shared" si="12"/>
        <v>0</v>
      </c>
      <c r="O69" s="54">
        <f t="shared" si="13"/>
        <v>0</v>
      </c>
      <c r="P69" s="1"/>
    </row>
    <row r="70" spans="2:16">
      <c r="B70" s="7" t="str">
        <f t="shared" si="14"/>
        <v/>
      </c>
      <c r="C70" s="50">
        <f>IF(D11="","-",+C69+1)</f>
        <v>2077</v>
      </c>
      <c r="D70" s="55">
        <f>IF(F69+SUM(E$17:E69)=D$10,F69,D$10-SUM(E$17:E69))</f>
        <v>0</v>
      </c>
      <c r="E70" s="56">
        <f t="shared" si="6"/>
        <v>0</v>
      </c>
      <c r="F70" s="55">
        <f t="shared" si="7"/>
        <v>0</v>
      </c>
      <c r="G70" s="57">
        <f t="shared" si="8"/>
        <v>0</v>
      </c>
      <c r="H70" s="42">
        <f t="shared" si="9"/>
        <v>0</v>
      </c>
      <c r="I70" s="52">
        <f t="shared" si="10"/>
        <v>0</v>
      </c>
      <c r="J70" s="52"/>
      <c r="K70" s="115"/>
      <c r="L70" s="54">
        <f t="shared" si="11"/>
        <v>0</v>
      </c>
      <c r="M70" s="115"/>
      <c r="N70" s="54">
        <f t="shared" si="12"/>
        <v>0</v>
      </c>
      <c r="O70" s="54">
        <f t="shared" si="13"/>
        <v>0</v>
      </c>
      <c r="P70" s="1"/>
    </row>
    <row r="71" spans="2:16">
      <c r="B71" s="7" t="str">
        <f t="shared" si="14"/>
        <v/>
      </c>
      <c r="C71" s="50">
        <f>IF(D11="","-",+C70+1)</f>
        <v>2078</v>
      </c>
      <c r="D71" s="55">
        <f>IF(F70+SUM(E$17:E70)=D$10,F70,D$10-SUM(E$17:E70))</f>
        <v>0</v>
      </c>
      <c r="E71" s="56">
        <f t="shared" si="6"/>
        <v>0</v>
      </c>
      <c r="F71" s="55">
        <f t="shared" si="7"/>
        <v>0</v>
      </c>
      <c r="G71" s="57">
        <f t="shared" si="8"/>
        <v>0</v>
      </c>
      <c r="H71" s="42">
        <f t="shared" si="9"/>
        <v>0</v>
      </c>
      <c r="I71" s="52">
        <f t="shared" si="10"/>
        <v>0</v>
      </c>
      <c r="J71" s="52"/>
      <c r="K71" s="115"/>
      <c r="L71" s="54">
        <f t="shared" si="11"/>
        <v>0</v>
      </c>
      <c r="M71" s="115"/>
      <c r="N71" s="54">
        <f t="shared" si="12"/>
        <v>0</v>
      </c>
      <c r="O71" s="54">
        <f t="shared" si="13"/>
        <v>0</v>
      </c>
      <c r="P71" s="1"/>
    </row>
    <row r="72" spans="2:16" ht="13.5" thickBot="1">
      <c r="B72" s="7" t="str">
        <f t="shared" si="14"/>
        <v/>
      </c>
      <c r="C72" s="58">
        <f>IF(D11="","-",+C71+1)</f>
        <v>2079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11"/>
        <v>0</v>
      </c>
      <c r="M72" s="116"/>
      <c r="N72" s="62">
        <f t="shared" si="12"/>
        <v>0</v>
      </c>
      <c r="O72" s="62">
        <f t="shared" si="13"/>
        <v>0</v>
      </c>
      <c r="P72" s="1"/>
    </row>
    <row r="73" spans="2:16">
      <c r="C73" s="12" t="s">
        <v>77</v>
      </c>
      <c r="D73" s="14"/>
      <c r="E73" s="14">
        <f>SUM(E17:E72)</f>
        <v>1769867.0000000002</v>
      </c>
      <c r="F73" s="14"/>
      <c r="G73" s="14">
        <f>SUM(G17:G72)</f>
        <v>5590166.3154529659</v>
      </c>
      <c r="H73" s="14">
        <f>SUM(H17:H72)</f>
        <v>5590166.3154529659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35 of 36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5.75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2025</v>
      </c>
      <c r="M86" s="102" t="s">
        <v>8</v>
      </c>
      <c r="N86" s="103" t="s">
        <v>153</v>
      </c>
      <c r="O86" s="104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242352.53646317462</v>
      </c>
      <c r="N87" s="66">
        <f>IF(J92&lt;D11,0,VLOOKUP(J92,C17:O72,11))</f>
        <v>242352.53646317462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379716.44186991127</v>
      </c>
      <c r="N88" s="68">
        <f>IF(J92&lt;D11,0,VLOOKUP(J92,C99:P154,7))</f>
        <v>379716.44186991127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Line - Osage - Webb City Tap - Shidler 138 kV Rebuild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137363.90540673665</v>
      </c>
      <c r="N89" s="71">
        <f>+N88-N87</f>
        <v>137363.90540673665</v>
      </c>
      <c r="O89" s="72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TA2020138</v>
      </c>
      <c r="E91" s="74" t="str">
        <f>E9</f>
        <v>SPP Project ID = 93038</v>
      </c>
      <c r="F91" s="74"/>
      <c r="G91" s="74"/>
      <c r="H91" s="74"/>
      <c r="I91" s="74"/>
      <c r="J91" s="74"/>
    </row>
    <row r="92" spans="1:16">
      <c r="C92" s="128" t="s">
        <v>226</v>
      </c>
      <c r="D92" s="85">
        <v>2618164.61</v>
      </c>
      <c r="E92" s="1" t="s">
        <v>94</v>
      </c>
      <c r="H92" s="2"/>
      <c r="I92" s="2"/>
      <c r="J92" s="36">
        <f>+'PSO.WS.G.BPU.ATRR.True-up'!M16</f>
        <v>2025</v>
      </c>
      <c r="K92" s="34"/>
      <c r="L92" s="14" t="s">
        <v>95</v>
      </c>
      <c r="P92" s="1"/>
    </row>
    <row r="93" spans="1:16">
      <c r="C93" s="37" t="s">
        <v>53</v>
      </c>
      <c r="D93" s="86">
        <f>D11</f>
        <v>2024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85">
        <v>8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14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70761</v>
      </c>
      <c r="K96" s="14"/>
      <c r="L96" s="14"/>
      <c r="M96" s="14"/>
      <c r="N96" s="14"/>
      <c r="O96" s="14"/>
      <c r="P96" s="1"/>
    </row>
    <row r="97" spans="1:16" ht="38.25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281</v>
      </c>
      <c r="I97" s="118" t="s">
        <v>282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>
      <c r="C99" s="50">
        <f>IF(D93= "","-",D93)</f>
        <v>2024</v>
      </c>
      <c r="D99" s="12">
        <v>0</v>
      </c>
      <c r="E99" s="57">
        <v>0</v>
      </c>
      <c r="F99" s="55">
        <v>2353669.9899999998</v>
      </c>
      <c r="G99" s="81">
        <v>1176834.9949999999</v>
      </c>
      <c r="H99" s="81">
        <v>158070.9581257196</v>
      </c>
      <c r="I99" s="81">
        <v>158070.9581257196</v>
      </c>
      <c r="J99" s="54">
        <f>+I99-H99</f>
        <v>0</v>
      </c>
      <c r="K99" s="54"/>
      <c r="L99" s="446">
        <f>+H99</f>
        <v>158070.9581257196</v>
      </c>
      <c r="M99" s="446">
        <f t="shared" ref="M99" si="15">IF(L99&lt;&gt;0,+H99-L99,0)</f>
        <v>0</v>
      </c>
      <c r="N99" s="446">
        <f>+I99</f>
        <v>158070.9581257196</v>
      </c>
      <c r="O99" s="446">
        <f t="shared" ref="O99" si="16">IF(N99&lt;&gt;0,+I99-N99,0)</f>
        <v>0</v>
      </c>
      <c r="P99" s="446">
        <f t="shared" ref="P99" si="17">+O99-M99</f>
        <v>0</v>
      </c>
    </row>
    <row r="100" spans="1:16">
      <c r="B100" s="7" t="str">
        <f>IF(D100=F99,"","IU")</f>
        <v>IU</v>
      </c>
      <c r="C100" s="50">
        <f>IF(D93="","-",+C99+1)</f>
        <v>2025</v>
      </c>
      <c r="D100" s="12">
        <f>IF(F99+SUM(E$99:E99)=D$92,F99,D$92-SUM(E$99:E99))</f>
        <v>2618164.61</v>
      </c>
      <c r="E100" s="56">
        <f>IF(+J$96&lt;F99,J$96,D100)</f>
        <v>70761</v>
      </c>
      <c r="F100" s="55">
        <f>+D100-E100</f>
        <v>2547403.61</v>
      </c>
      <c r="G100" s="55">
        <f>+(F100+D100)/2</f>
        <v>2582784.11</v>
      </c>
      <c r="H100" s="113">
        <f t="shared" ref="H100:H154" si="18">+J$94*G100+E100</f>
        <v>379716.44186991127</v>
      </c>
      <c r="I100" s="122">
        <f t="shared" ref="I100:I154" si="19">+J$95*G100+E100</f>
        <v>379716.44186991127</v>
      </c>
      <c r="J100" s="54">
        <f t="shared" ref="J100:J130" si="20">+I100-H100</f>
        <v>0</v>
      </c>
      <c r="K100" s="54"/>
      <c r="L100" s="115"/>
      <c r="M100" s="54">
        <f t="shared" ref="M100:M130" si="21">IF(L100&lt;&gt;0,+H100-L100,0)</f>
        <v>0</v>
      </c>
      <c r="N100" s="115"/>
      <c r="O100" s="54">
        <f t="shared" ref="O100:O130" si="22">IF(N100&lt;&gt;0,+I100-N100,0)</f>
        <v>0</v>
      </c>
      <c r="P100" s="54">
        <f t="shared" ref="P100:P130" si="23">+O100-M100</f>
        <v>0</v>
      </c>
    </row>
    <row r="101" spans="1:16">
      <c r="B101" s="7" t="str">
        <f t="shared" ref="B101:B154" si="24">IF(D101=F100,"","IU")</f>
        <v/>
      </c>
      <c r="C101" s="50">
        <f>IF(D93="","-",+C100+1)</f>
        <v>2026</v>
      </c>
      <c r="D101" s="12">
        <f>IF(F100+SUM(E$99:E100)=D$92,F100,D$92-SUM(E$99:E100))</f>
        <v>2547403.61</v>
      </c>
      <c r="E101" s="56">
        <f t="shared" ref="E101:E154" si="25">IF(+J$96&lt;F100,J$96,D101)</f>
        <v>70761</v>
      </c>
      <c r="F101" s="55">
        <f t="shared" ref="F101:F154" si="26">+D101-E101</f>
        <v>2476642.61</v>
      </c>
      <c r="G101" s="55">
        <f t="shared" ref="G101:G154" si="27">+(F101+D101)/2</f>
        <v>2512023.11</v>
      </c>
      <c r="H101" s="113">
        <f t="shared" si="18"/>
        <v>371251.93415611831</v>
      </c>
      <c r="I101" s="122">
        <f t="shared" si="19"/>
        <v>371251.93415611831</v>
      </c>
      <c r="J101" s="54">
        <f t="shared" si="20"/>
        <v>0</v>
      </c>
      <c r="K101" s="54"/>
      <c r="L101" s="115"/>
      <c r="M101" s="54">
        <f t="shared" si="21"/>
        <v>0</v>
      </c>
      <c r="N101" s="115"/>
      <c r="O101" s="54">
        <f t="shared" si="22"/>
        <v>0</v>
      </c>
      <c r="P101" s="54">
        <f t="shared" si="23"/>
        <v>0</v>
      </c>
    </row>
    <row r="102" spans="1:16">
      <c r="B102" s="7" t="str">
        <f t="shared" si="24"/>
        <v/>
      </c>
      <c r="C102" s="50">
        <f>IF(D93="","-",+C101+1)</f>
        <v>2027</v>
      </c>
      <c r="D102" s="12">
        <f>IF(F101+SUM(E$99:E101)=D$92,F101,D$92-SUM(E$99:E101))</f>
        <v>2476642.61</v>
      </c>
      <c r="E102" s="56">
        <f t="shared" si="25"/>
        <v>70761</v>
      </c>
      <c r="F102" s="55">
        <f t="shared" si="26"/>
        <v>2405881.61</v>
      </c>
      <c r="G102" s="55">
        <f t="shared" si="27"/>
        <v>2441262.11</v>
      </c>
      <c r="H102" s="113">
        <f t="shared" si="18"/>
        <v>362787.42644232541</v>
      </c>
      <c r="I102" s="122">
        <f t="shared" si="19"/>
        <v>362787.42644232541</v>
      </c>
      <c r="J102" s="54">
        <f t="shared" si="20"/>
        <v>0</v>
      </c>
      <c r="K102" s="54"/>
      <c r="L102" s="115"/>
      <c r="M102" s="54">
        <f t="shared" si="21"/>
        <v>0</v>
      </c>
      <c r="N102" s="115"/>
      <c r="O102" s="54">
        <f t="shared" si="22"/>
        <v>0</v>
      </c>
      <c r="P102" s="54">
        <f t="shared" si="23"/>
        <v>0</v>
      </c>
    </row>
    <row r="103" spans="1:16">
      <c r="B103" s="7" t="str">
        <f t="shared" si="24"/>
        <v/>
      </c>
      <c r="C103" s="50">
        <f>IF(D93="","-",+C102+1)</f>
        <v>2028</v>
      </c>
      <c r="D103" s="12">
        <f>IF(F102+SUM(E$99:E102)=D$92,F102,D$92-SUM(E$99:E102))</f>
        <v>2405881.61</v>
      </c>
      <c r="E103" s="56">
        <f t="shared" si="25"/>
        <v>70761</v>
      </c>
      <c r="F103" s="55">
        <f t="shared" si="26"/>
        <v>2335120.61</v>
      </c>
      <c r="G103" s="55">
        <f t="shared" si="27"/>
        <v>2370501.11</v>
      </c>
      <c r="H103" s="113">
        <f t="shared" si="18"/>
        <v>354322.9187285325</v>
      </c>
      <c r="I103" s="122">
        <f t="shared" si="19"/>
        <v>354322.9187285325</v>
      </c>
      <c r="J103" s="54">
        <f t="shared" si="20"/>
        <v>0</v>
      </c>
      <c r="K103" s="54"/>
      <c r="L103" s="115"/>
      <c r="M103" s="54">
        <f t="shared" si="21"/>
        <v>0</v>
      </c>
      <c r="N103" s="115"/>
      <c r="O103" s="54">
        <f t="shared" si="22"/>
        <v>0</v>
      </c>
      <c r="P103" s="54">
        <f t="shared" si="23"/>
        <v>0</v>
      </c>
    </row>
    <row r="104" spans="1:16">
      <c r="B104" s="7" t="str">
        <f t="shared" si="24"/>
        <v/>
      </c>
      <c r="C104" s="50">
        <f>IF(D93="","-",+C103+1)</f>
        <v>2029</v>
      </c>
      <c r="D104" s="12">
        <f>IF(F103+SUM(E$99:E103)=D$92,F103,D$92-SUM(E$99:E103))</f>
        <v>2335120.61</v>
      </c>
      <c r="E104" s="56">
        <f t="shared" si="25"/>
        <v>70761</v>
      </c>
      <c r="F104" s="55">
        <f t="shared" si="26"/>
        <v>2264359.61</v>
      </c>
      <c r="G104" s="55">
        <f t="shared" si="27"/>
        <v>2299740.11</v>
      </c>
      <c r="H104" s="113">
        <f t="shared" si="18"/>
        <v>345858.41101473954</v>
      </c>
      <c r="I104" s="122">
        <f t="shared" si="19"/>
        <v>345858.41101473954</v>
      </c>
      <c r="J104" s="54">
        <f t="shared" si="20"/>
        <v>0</v>
      </c>
      <c r="K104" s="54"/>
      <c r="L104" s="115"/>
      <c r="M104" s="54">
        <f t="shared" si="21"/>
        <v>0</v>
      </c>
      <c r="N104" s="115"/>
      <c r="O104" s="54">
        <f t="shared" si="22"/>
        <v>0</v>
      </c>
      <c r="P104" s="54">
        <f t="shared" si="23"/>
        <v>0</v>
      </c>
    </row>
    <row r="105" spans="1:16">
      <c r="B105" s="7" t="str">
        <f t="shared" si="24"/>
        <v/>
      </c>
      <c r="C105" s="50">
        <f>IF(D93="","-",+C104+1)</f>
        <v>2030</v>
      </c>
      <c r="D105" s="12">
        <f>IF(F104+SUM(E$99:E104)=D$92,F104,D$92-SUM(E$99:E104))</f>
        <v>2264359.61</v>
      </c>
      <c r="E105" s="56">
        <f t="shared" si="25"/>
        <v>70761</v>
      </c>
      <c r="F105" s="55">
        <f t="shared" si="26"/>
        <v>2193598.61</v>
      </c>
      <c r="G105" s="55">
        <f t="shared" si="27"/>
        <v>2228979.11</v>
      </c>
      <c r="H105" s="113">
        <f t="shared" si="18"/>
        <v>337393.90330094664</v>
      </c>
      <c r="I105" s="122">
        <f t="shared" si="19"/>
        <v>337393.90330094664</v>
      </c>
      <c r="J105" s="54">
        <f t="shared" si="20"/>
        <v>0</v>
      </c>
      <c r="K105" s="54"/>
      <c r="L105" s="115"/>
      <c r="M105" s="54">
        <f t="shared" si="21"/>
        <v>0</v>
      </c>
      <c r="N105" s="115"/>
      <c r="O105" s="54">
        <f t="shared" si="22"/>
        <v>0</v>
      </c>
      <c r="P105" s="54">
        <f t="shared" si="23"/>
        <v>0</v>
      </c>
    </row>
    <row r="106" spans="1:16">
      <c r="B106" s="7" t="str">
        <f t="shared" si="24"/>
        <v/>
      </c>
      <c r="C106" s="50">
        <f>IF(D93="","-",+C105+1)</f>
        <v>2031</v>
      </c>
      <c r="D106" s="12">
        <f>IF(F105+SUM(E$99:E105)=D$92,F105,D$92-SUM(E$99:E105))</f>
        <v>2193598.61</v>
      </c>
      <c r="E106" s="56">
        <f t="shared" si="25"/>
        <v>70761</v>
      </c>
      <c r="F106" s="55">
        <f t="shared" si="26"/>
        <v>2122837.61</v>
      </c>
      <c r="G106" s="55">
        <f t="shared" si="27"/>
        <v>2158218.11</v>
      </c>
      <c r="H106" s="113">
        <f t="shared" si="18"/>
        <v>328929.39558715373</v>
      </c>
      <c r="I106" s="122">
        <f t="shared" si="19"/>
        <v>328929.39558715373</v>
      </c>
      <c r="J106" s="54">
        <f t="shared" si="20"/>
        <v>0</v>
      </c>
      <c r="K106" s="54"/>
      <c r="L106" s="115"/>
      <c r="M106" s="54">
        <f t="shared" si="21"/>
        <v>0</v>
      </c>
      <c r="N106" s="115"/>
      <c r="O106" s="54">
        <f t="shared" si="22"/>
        <v>0</v>
      </c>
      <c r="P106" s="54">
        <f t="shared" si="23"/>
        <v>0</v>
      </c>
    </row>
    <row r="107" spans="1:16">
      <c r="B107" s="7" t="str">
        <f t="shared" si="24"/>
        <v/>
      </c>
      <c r="C107" s="50">
        <f>IF(D93="","-",+C106+1)</f>
        <v>2032</v>
      </c>
      <c r="D107" s="12">
        <f>IF(F106+SUM(E$99:E106)=D$92,F106,D$92-SUM(E$99:E106))</f>
        <v>2122837.61</v>
      </c>
      <c r="E107" s="56">
        <f t="shared" si="25"/>
        <v>70761</v>
      </c>
      <c r="F107" s="55">
        <f t="shared" si="26"/>
        <v>2052076.6099999999</v>
      </c>
      <c r="G107" s="55">
        <f t="shared" si="27"/>
        <v>2087457.1099999999</v>
      </c>
      <c r="H107" s="113">
        <f t="shared" si="18"/>
        <v>320464.88787336077</v>
      </c>
      <c r="I107" s="122">
        <f t="shared" si="19"/>
        <v>320464.88787336077</v>
      </c>
      <c r="J107" s="54">
        <f t="shared" si="20"/>
        <v>0</v>
      </c>
      <c r="K107" s="54"/>
      <c r="L107" s="115"/>
      <c r="M107" s="54">
        <f t="shared" si="21"/>
        <v>0</v>
      </c>
      <c r="N107" s="115"/>
      <c r="O107" s="54">
        <f t="shared" si="22"/>
        <v>0</v>
      </c>
      <c r="P107" s="54">
        <f t="shared" si="23"/>
        <v>0</v>
      </c>
    </row>
    <row r="108" spans="1:16">
      <c r="B108" s="7" t="str">
        <f t="shared" si="24"/>
        <v/>
      </c>
      <c r="C108" s="50">
        <f>IF(D93="","-",+C107+1)</f>
        <v>2033</v>
      </c>
      <c r="D108" s="12">
        <f>IF(F107+SUM(E$99:E107)=D$92,F107,D$92-SUM(E$99:E107))</f>
        <v>2052076.6099999999</v>
      </c>
      <c r="E108" s="56">
        <f t="shared" si="25"/>
        <v>70761</v>
      </c>
      <c r="F108" s="55">
        <f t="shared" si="26"/>
        <v>1981315.6099999999</v>
      </c>
      <c r="G108" s="55">
        <f t="shared" si="27"/>
        <v>2016696.1099999999</v>
      </c>
      <c r="H108" s="113">
        <f t="shared" si="18"/>
        <v>312000.38015956787</v>
      </c>
      <c r="I108" s="122">
        <f t="shared" si="19"/>
        <v>312000.38015956787</v>
      </c>
      <c r="J108" s="54">
        <f t="shared" si="20"/>
        <v>0</v>
      </c>
      <c r="K108" s="54"/>
      <c r="L108" s="115"/>
      <c r="M108" s="54">
        <f t="shared" si="21"/>
        <v>0</v>
      </c>
      <c r="N108" s="115"/>
      <c r="O108" s="54">
        <f t="shared" si="22"/>
        <v>0</v>
      </c>
      <c r="P108" s="54">
        <f t="shared" si="23"/>
        <v>0</v>
      </c>
    </row>
    <row r="109" spans="1:16">
      <c r="B109" s="7" t="str">
        <f t="shared" si="24"/>
        <v/>
      </c>
      <c r="C109" s="50">
        <f>IF(D93="","-",+C108+1)</f>
        <v>2034</v>
      </c>
      <c r="D109" s="12">
        <f>IF(F108+SUM(E$99:E108)=D$92,F108,D$92-SUM(E$99:E108))</f>
        <v>1981315.6099999999</v>
      </c>
      <c r="E109" s="56">
        <f t="shared" si="25"/>
        <v>70761</v>
      </c>
      <c r="F109" s="55">
        <f t="shared" si="26"/>
        <v>1910554.6099999999</v>
      </c>
      <c r="G109" s="55">
        <f t="shared" si="27"/>
        <v>1945935.1099999999</v>
      </c>
      <c r="H109" s="113">
        <f t="shared" si="18"/>
        <v>303535.87244577496</v>
      </c>
      <c r="I109" s="122">
        <f t="shared" si="19"/>
        <v>303535.87244577496</v>
      </c>
      <c r="J109" s="54">
        <f t="shared" si="20"/>
        <v>0</v>
      </c>
      <c r="K109" s="54"/>
      <c r="L109" s="115"/>
      <c r="M109" s="54">
        <f t="shared" si="21"/>
        <v>0</v>
      </c>
      <c r="N109" s="115"/>
      <c r="O109" s="54">
        <f t="shared" si="22"/>
        <v>0</v>
      </c>
      <c r="P109" s="54">
        <f t="shared" si="23"/>
        <v>0</v>
      </c>
    </row>
    <row r="110" spans="1:16">
      <c r="B110" s="7" t="str">
        <f t="shared" si="24"/>
        <v/>
      </c>
      <c r="C110" s="50">
        <f>IF(D93="","-",+C109+1)</f>
        <v>2035</v>
      </c>
      <c r="D110" s="12">
        <f>IF(F109+SUM(E$99:E109)=D$92,F109,D$92-SUM(E$99:E109))</f>
        <v>1910554.6099999999</v>
      </c>
      <c r="E110" s="56">
        <f t="shared" si="25"/>
        <v>70761</v>
      </c>
      <c r="F110" s="55">
        <f t="shared" si="26"/>
        <v>1839793.6099999999</v>
      </c>
      <c r="G110" s="55">
        <f t="shared" si="27"/>
        <v>1875174.1099999999</v>
      </c>
      <c r="H110" s="113">
        <f t="shared" si="18"/>
        <v>295071.364731982</v>
      </c>
      <c r="I110" s="122">
        <f t="shared" si="19"/>
        <v>295071.364731982</v>
      </c>
      <c r="J110" s="54">
        <f t="shared" si="20"/>
        <v>0</v>
      </c>
      <c r="K110" s="54"/>
      <c r="L110" s="115"/>
      <c r="M110" s="54">
        <f t="shared" si="21"/>
        <v>0</v>
      </c>
      <c r="N110" s="115"/>
      <c r="O110" s="54">
        <f t="shared" si="22"/>
        <v>0</v>
      </c>
      <c r="P110" s="54">
        <f t="shared" si="23"/>
        <v>0</v>
      </c>
    </row>
    <row r="111" spans="1:16">
      <c r="B111" s="7" t="str">
        <f t="shared" si="24"/>
        <v/>
      </c>
      <c r="C111" s="50">
        <f>IF(D93="","-",+C110+1)</f>
        <v>2036</v>
      </c>
      <c r="D111" s="12">
        <f>IF(F110+SUM(E$99:E110)=D$92,F110,D$92-SUM(E$99:E110))</f>
        <v>1839793.6099999999</v>
      </c>
      <c r="E111" s="56">
        <f t="shared" si="25"/>
        <v>70761</v>
      </c>
      <c r="F111" s="55">
        <f t="shared" si="26"/>
        <v>1769032.6099999999</v>
      </c>
      <c r="G111" s="55">
        <f t="shared" si="27"/>
        <v>1804413.1099999999</v>
      </c>
      <c r="H111" s="113">
        <f t="shared" si="18"/>
        <v>286606.8570181891</v>
      </c>
      <c r="I111" s="122">
        <f t="shared" si="19"/>
        <v>286606.8570181891</v>
      </c>
      <c r="J111" s="54">
        <f t="shared" si="20"/>
        <v>0</v>
      </c>
      <c r="K111" s="54"/>
      <c r="L111" s="115"/>
      <c r="M111" s="54">
        <f t="shared" si="21"/>
        <v>0</v>
      </c>
      <c r="N111" s="115"/>
      <c r="O111" s="54">
        <f t="shared" si="22"/>
        <v>0</v>
      </c>
      <c r="P111" s="54">
        <f t="shared" si="23"/>
        <v>0</v>
      </c>
    </row>
    <row r="112" spans="1:16">
      <c r="B112" s="7" t="str">
        <f t="shared" si="24"/>
        <v/>
      </c>
      <c r="C112" s="50">
        <f>IF(D93="","-",+C111+1)</f>
        <v>2037</v>
      </c>
      <c r="D112" s="12">
        <f>IF(F111+SUM(E$99:E111)=D$92,F111,D$92-SUM(E$99:E111))</f>
        <v>1769032.6099999999</v>
      </c>
      <c r="E112" s="56">
        <f t="shared" si="25"/>
        <v>70761</v>
      </c>
      <c r="F112" s="55">
        <f t="shared" si="26"/>
        <v>1698271.6099999999</v>
      </c>
      <c r="G112" s="55">
        <f t="shared" si="27"/>
        <v>1733652.1099999999</v>
      </c>
      <c r="H112" s="113">
        <f t="shared" si="18"/>
        <v>278142.34930439619</v>
      </c>
      <c r="I112" s="122">
        <f t="shared" si="19"/>
        <v>278142.34930439619</v>
      </c>
      <c r="J112" s="54">
        <f t="shared" si="20"/>
        <v>0</v>
      </c>
      <c r="K112" s="54"/>
      <c r="L112" s="115"/>
      <c r="M112" s="54">
        <f t="shared" si="21"/>
        <v>0</v>
      </c>
      <c r="N112" s="115"/>
      <c r="O112" s="54">
        <f t="shared" si="22"/>
        <v>0</v>
      </c>
      <c r="P112" s="54">
        <f t="shared" si="23"/>
        <v>0</v>
      </c>
    </row>
    <row r="113" spans="2:16">
      <c r="B113" s="7" t="str">
        <f t="shared" si="24"/>
        <v/>
      </c>
      <c r="C113" s="50">
        <f>IF(D93="","-",+C112+1)</f>
        <v>2038</v>
      </c>
      <c r="D113" s="12">
        <f>IF(F112+SUM(E$99:E112)=D$92,F112,D$92-SUM(E$99:E112))</f>
        <v>1698271.6099999999</v>
      </c>
      <c r="E113" s="56">
        <f t="shared" si="25"/>
        <v>70761</v>
      </c>
      <c r="F113" s="55">
        <f t="shared" si="26"/>
        <v>1627510.6099999999</v>
      </c>
      <c r="G113" s="55">
        <f t="shared" si="27"/>
        <v>1662891.1099999999</v>
      </c>
      <c r="H113" s="113">
        <f t="shared" si="18"/>
        <v>269677.84159060323</v>
      </c>
      <c r="I113" s="122">
        <f t="shared" si="19"/>
        <v>269677.84159060323</v>
      </c>
      <c r="J113" s="54">
        <f t="shared" si="20"/>
        <v>0</v>
      </c>
      <c r="K113" s="54"/>
      <c r="L113" s="115"/>
      <c r="M113" s="54">
        <f t="shared" si="21"/>
        <v>0</v>
      </c>
      <c r="N113" s="115"/>
      <c r="O113" s="54">
        <f t="shared" si="22"/>
        <v>0</v>
      </c>
      <c r="P113" s="54">
        <f t="shared" si="23"/>
        <v>0</v>
      </c>
    </row>
    <row r="114" spans="2:16">
      <c r="B114" s="7" t="str">
        <f t="shared" si="24"/>
        <v/>
      </c>
      <c r="C114" s="50">
        <f>IF(D93="","-",+C113+1)</f>
        <v>2039</v>
      </c>
      <c r="D114" s="12">
        <f>IF(F113+SUM(E$99:E113)=D$92,F113,D$92-SUM(E$99:E113))</f>
        <v>1627510.6099999999</v>
      </c>
      <c r="E114" s="56">
        <f t="shared" si="25"/>
        <v>70761</v>
      </c>
      <c r="F114" s="55">
        <f t="shared" si="26"/>
        <v>1556749.6099999999</v>
      </c>
      <c r="G114" s="55">
        <f t="shared" si="27"/>
        <v>1592130.1099999999</v>
      </c>
      <c r="H114" s="113">
        <f t="shared" si="18"/>
        <v>261213.33387681033</v>
      </c>
      <c r="I114" s="122">
        <f t="shared" si="19"/>
        <v>261213.33387681033</v>
      </c>
      <c r="J114" s="54">
        <f t="shared" si="20"/>
        <v>0</v>
      </c>
      <c r="K114" s="54"/>
      <c r="L114" s="115"/>
      <c r="M114" s="54">
        <f t="shared" si="21"/>
        <v>0</v>
      </c>
      <c r="N114" s="115"/>
      <c r="O114" s="54">
        <f t="shared" si="22"/>
        <v>0</v>
      </c>
      <c r="P114" s="54">
        <f t="shared" si="23"/>
        <v>0</v>
      </c>
    </row>
    <row r="115" spans="2:16">
      <c r="B115" s="7" t="str">
        <f t="shared" si="24"/>
        <v/>
      </c>
      <c r="C115" s="50">
        <f>IF(D93="","-",+C114+1)</f>
        <v>2040</v>
      </c>
      <c r="D115" s="12">
        <f>IF(F114+SUM(E$99:E114)=D$92,F114,D$92-SUM(E$99:E114))</f>
        <v>1556749.6099999999</v>
      </c>
      <c r="E115" s="56">
        <f t="shared" si="25"/>
        <v>70761</v>
      </c>
      <c r="F115" s="55">
        <f t="shared" si="26"/>
        <v>1485988.6099999999</v>
      </c>
      <c r="G115" s="55">
        <f t="shared" si="27"/>
        <v>1521369.1099999999</v>
      </c>
      <c r="H115" s="113">
        <f t="shared" si="18"/>
        <v>252748.82616301739</v>
      </c>
      <c r="I115" s="122">
        <f t="shared" si="19"/>
        <v>252748.82616301739</v>
      </c>
      <c r="J115" s="54">
        <f t="shared" si="20"/>
        <v>0</v>
      </c>
      <c r="K115" s="54"/>
      <c r="L115" s="115"/>
      <c r="M115" s="54">
        <f t="shared" si="21"/>
        <v>0</v>
      </c>
      <c r="N115" s="115"/>
      <c r="O115" s="54">
        <f t="shared" si="22"/>
        <v>0</v>
      </c>
      <c r="P115" s="54">
        <f t="shared" si="23"/>
        <v>0</v>
      </c>
    </row>
    <row r="116" spans="2:16">
      <c r="B116" s="7" t="str">
        <f t="shared" si="24"/>
        <v/>
      </c>
      <c r="C116" s="50">
        <f>IF(D93="","-",+C115+1)</f>
        <v>2041</v>
      </c>
      <c r="D116" s="12">
        <f>IF(F115+SUM(E$99:E115)=D$92,F115,D$92-SUM(E$99:E115))</f>
        <v>1485988.6099999999</v>
      </c>
      <c r="E116" s="56">
        <f t="shared" si="25"/>
        <v>70761</v>
      </c>
      <c r="F116" s="55">
        <f t="shared" si="26"/>
        <v>1415227.6099999999</v>
      </c>
      <c r="G116" s="55">
        <f t="shared" si="27"/>
        <v>1450608.1099999999</v>
      </c>
      <c r="H116" s="113">
        <f t="shared" si="18"/>
        <v>244284.31844922446</v>
      </c>
      <c r="I116" s="122">
        <f t="shared" si="19"/>
        <v>244284.31844922446</v>
      </c>
      <c r="J116" s="54">
        <f t="shared" si="20"/>
        <v>0</v>
      </c>
      <c r="K116" s="54"/>
      <c r="L116" s="115"/>
      <c r="M116" s="54">
        <f t="shared" si="21"/>
        <v>0</v>
      </c>
      <c r="N116" s="115"/>
      <c r="O116" s="54">
        <f t="shared" si="22"/>
        <v>0</v>
      </c>
      <c r="P116" s="54">
        <f t="shared" si="23"/>
        <v>0</v>
      </c>
    </row>
    <row r="117" spans="2:16">
      <c r="B117" s="7" t="str">
        <f t="shared" si="24"/>
        <v/>
      </c>
      <c r="C117" s="50">
        <f>IF(D93="","-",+C116+1)</f>
        <v>2042</v>
      </c>
      <c r="D117" s="12">
        <f>IF(F116+SUM(E$99:E116)=D$92,F116,D$92-SUM(E$99:E116))</f>
        <v>1415227.6099999999</v>
      </c>
      <c r="E117" s="56">
        <f t="shared" si="25"/>
        <v>70761</v>
      </c>
      <c r="F117" s="55">
        <f t="shared" si="26"/>
        <v>1344466.6099999999</v>
      </c>
      <c r="G117" s="55">
        <f t="shared" si="27"/>
        <v>1379847.1099999999</v>
      </c>
      <c r="H117" s="113">
        <f t="shared" si="18"/>
        <v>235819.81073543156</v>
      </c>
      <c r="I117" s="122">
        <f t="shared" si="19"/>
        <v>235819.81073543156</v>
      </c>
      <c r="J117" s="54">
        <f t="shared" si="20"/>
        <v>0</v>
      </c>
      <c r="K117" s="54"/>
      <c r="L117" s="115"/>
      <c r="M117" s="54">
        <f t="shared" si="21"/>
        <v>0</v>
      </c>
      <c r="N117" s="115"/>
      <c r="O117" s="54">
        <f t="shared" si="22"/>
        <v>0</v>
      </c>
      <c r="P117" s="54">
        <f t="shared" si="23"/>
        <v>0</v>
      </c>
    </row>
    <row r="118" spans="2:16">
      <c r="B118" s="7" t="str">
        <f t="shared" si="24"/>
        <v/>
      </c>
      <c r="C118" s="50">
        <f>IF(D93="","-",+C117+1)</f>
        <v>2043</v>
      </c>
      <c r="D118" s="12">
        <f>IF(F117+SUM(E$99:E117)=D$92,F117,D$92-SUM(E$99:E117))</f>
        <v>1344466.6099999999</v>
      </c>
      <c r="E118" s="56">
        <f t="shared" si="25"/>
        <v>70761</v>
      </c>
      <c r="F118" s="55">
        <f t="shared" si="26"/>
        <v>1273705.6099999999</v>
      </c>
      <c r="G118" s="55">
        <f t="shared" si="27"/>
        <v>1309086.1099999999</v>
      </c>
      <c r="H118" s="113">
        <f t="shared" si="18"/>
        <v>227355.30302163863</v>
      </c>
      <c r="I118" s="122">
        <f t="shared" si="19"/>
        <v>227355.30302163863</v>
      </c>
      <c r="J118" s="54">
        <f t="shared" si="20"/>
        <v>0</v>
      </c>
      <c r="K118" s="54"/>
      <c r="L118" s="115"/>
      <c r="M118" s="54">
        <f t="shared" si="21"/>
        <v>0</v>
      </c>
      <c r="N118" s="115"/>
      <c r="O118" s="54">
        <f t="shared" si="22"/>
        <v>0</v>
      </c>
      <c r="P118" s="54">
        <f t="shared" si="23"/>
        <v>0</v>
      </c>
    </row>
    <row r="119" spans="2:16">
      <c r="B119" s="7" t="str">
        <f t="shared" si="24"/>
        <v/>
      </c>
      <c r="C119" s="50">
        <f>IF(D93="","-",+C118+1)</f>
        <v>2044</v>
      </c>
      <c r="D119" s="12">
        <f>IF(F118+SUM(E$99:E118)=D$92,F118,D$92-SUM(E$99:E118))</f>
        <v>1273705.6099999999</v>
      </c>
      <c r="E119" s="56">
        <f t="shared" si="25"/>
        <v>70761</v>
      </c>
      <c r="F119" s="55">
        <f t="shared" si="26"/>
        <v>1202944.6099999999</v>
      </c>
      <c r="G119" s="55">
        <f t="shared" si="27"/>
        <v>1238325.1099999999</v>
      </c>
      <c r="H119" s="113">
        <f t="shared" si="18"/>
        <v>218890.79530784569</v>
      </c>
      <c r="I119" s="122">
        <f t="shared" si="19"/>
        <v>218890.79530784569</v>
      </c>
      <c r="J119" s="54">
        <f t="shared" si="20"/>
        <v>0</v>
      </c>
      <c r="K119" s="54"/>
      <c r="L119" s="115"/>
      <c r="M119" s="54">
        <f t="shared" si="21"/>
        <v>0</v>
      </c>
      <c r="N119" s="115"/>
      <c r="O119" s="54">
        <f t="shared" si="22"/>
        <v>0</v>
      </c>
      <c r="P119" s="54">
        <f t="shared" si="23"/>
        <v>0</v>
      </c>
    </row>
    <row r="120" spans="2:16">
      <c r="B120" s="7" t="str">
        <f t="shared" si="24"/>
        <v/>
      </c>
      <c r="C120" s="50">
        <f>IF(D93="","-",+C119+1)</f>
        <v>2045</v>
      </c>
      <c r="D120" s="12">
        <f>IF(F119+SUM(E$99:E119)=D$92,F119,D$92-SUM(E$99:E119))</f>
        <v>1202944.6099999999</v>
      </c>
      <c r="E120" s="56">
        <f t="shared" si="25"/>
        <v>70761</v>
      </c>
      <c r="F120" s="55">
        <f t="shared" si="26"/>
        <v>1132183.6099999999</v>
      </c>
      <c r="G120" s="55">
        <f t="shared" si="27"/>
        <v>1167564.1099999999</v>
      </c>
      <c r="H120" s="113">
        <f t="shared" si="18"/>
        <v>210426.28759405279</v>
      </c>
      <c r="I120" s="122">
        <f t="shared" si="19"/>
        <v>210426.28759405279</v>
      </c>
      <c r="J120" s="54">
        <f t="shared" si="20"/>
        <v>0</v>
      </c>
      <c r="K120" s="54"/>
      <c r="L120" s="115"/>
      <c r="M120" s="54">
        <f t="shared" si="21"/>
        <v>0</v>
      </c>
      <c r="N120" s="115"/>
      <c r="O120" s="54">
        <f t="shared" si="22"/>
        <v>0</v>
      </c>
      <c r="P120" s="54">
        <f t="shared" si="23"/>
        <v>0</v>
      </c>
    </row>
    <row r="121" spans="2:16">
      <c r="B121" s="7" t="str">
        <f t="shared" si="24"/>
        <v/>
      </c>
      <c r="C121" s="50">
        <f>IF(D93="","-",+C120+1)</f>
        <v>2046</v>
      </c>
      <c r="D121" s="12">
        <f>IF(F120+SUM(E$99:E120)=D$92,F120,D$92-SUM(E$99:E120))</f>
        <v>1132183.6099999999</v>
      </c>
      <c r="E121" s="56">
        <f t="shared" si="25"/>
        <v>70761</v>
      </c>
      <c r="F121" s="55">
        <f t="shared" si="26"/>
        <v>1061422.6099999999</v>
      </c>
      <c r="G121" s="55">
        <f t="shared" si="27"/>
        <v>1096803.1099999999</v>
      </c>
      <c r="H121" s="113">
        <f t="shared" si="18"/>
        <v>201961.77988025986</v>
      </c>
      <c r="I121" s="122">
        <f t="shared" si="19"/>
        <v>201961.77988025986</v>
      </c>
      <c r="J121" s="54">
        <f t="shared" si="20"/>
        <v>0</v>
      </c>
      <c r="K121" s="54"/>
      <c r="L121" s="115"/>
      <c r="M121" s="54">
        <f t="shared" si="21"/>
        <v>0</v>
      </c>
      <c r="N121" s="115"/>
      <c r="O121" s="54">
        <f t="shared" si="22"/>
        <v>0</v>
      </c>
      <c r="P121" s="54">
        <f t="shared" si="23"/>
        <v>0</v>
      </c>
    </row>
    <row r="122" spans="2:16">
      <c r="B122" s="7" t="str">
        <f t="shared" si="24"/>
        <v/>
      </c>
      <c r="C122" s="50">
        <f>IF(D93="","-",+C121+1)</f>
        <v>2047</v>
      </c>
      <c r="D122" s="12">
        <f>IF(F121+SUM(E$99:E121)=D$92,F121,D$92-SUM(E$99:E121))</f>
        <v>1061422.6099999999</v>
      </c>
      <c r="E122" s="56">
        <f t="shared" si="25"/>
        <v>70761</v>
      </c>
      <c r="F122" s="55">
        <f t="shared" si="26"/>
        <v>990661.60999999987</v>
      </c>
      <c r="G122" s="55">
        <f t="shared" si="27"/>
        <v>1026042.1099999999</v>
      </c>
      <c r="H122" s="113">
        <f t="shared" si="18"/>
        <v>193497.27216646692</v>
      </c>
      <c r="I122" s="122">
        <f t="shared" si="19"/>
        <v>193497.27216646692</v>
      </c>
      <c r="J122" s="54">
        <f t="shared" si="20"/>
        <v>0</v>
      </c>
      <c r="K122" s="54"/>
      <c r="L122" s="115"/>
      <c r="M122" s="54">
        <f t="shared" si="21"/>
        <v>0</v>
      </c>
      <c r="N122" s="115"/>
      <c r="O122" s="54">
        <f t="shared" si="22"/>
        <v>0</v>
      </c>
      <c r="P122" s="54">
        <f t="shared" si="23"/>
        <v>0</v>
      </c>
    </row>
    <row r="123" spans="2:16">
      <c r="B123" s="7" t="str">
        <f t="shared" si="24"/>
        <v/>
      </c>
      <c r="C123" s="50">
        <f>IF(D93="","-",+C122+1)</f>
        <v>2048</v>
      </c>
      <c r="D123" s="12">
        <f>IF(F122+SUM(E$99:E122)=D$92,F122,D$92-SUM(E$99:E122))</f>
        <v>990661.60999999987</v>
      </c>
      <c r="E123" s="56">
        <f t="shared" si="25"/>
        <v>70761</v>
      </c>
      <c r="F123" s="55">
        <f t="shared" si="26"/>
        <v>919900.60999999987</v>
      </c>
      <c r="G123" s="55">
        <f t="shared" si="27"/>
        <v>955281.10999999987</v>
      </c>
      <c r="H123" s="113">
        <f t="shared" si="18"/>
        <v>185032.76445267402</v>
      </c>
      <c r="I123" s="122">
        <f t="shared" si="19"/>
        <v>185032.76445267402</v>
      </c>
      <c r="J123" s="54">
        <f t="shared" si="20"/>
        <v>0</v>
      </c>
      <c r="K123" s="54"/>
      <c r="L123" s="115"/>
      <c r="M123" s="54">
        <f t="shared" si="21"/>
        <v>0</v>
      </c>
      <c r="N123" s="115"/>
      <c r="O123" s="54">
        <f t="shared" si="22"/>
        <v>0</v>
      </c>
      <c r="P123" s="54">
        <f t="shared" si="23"/>
        <v>0</v>
      </c>
    </row>
    <row r="124" spans="2:16">
      <c r="B124" s="7" t="str">
        <f t="shared" si="24"/>
        <v/>
      </c>
      <c r="C124" s="50">
        <f>IF(D93="","-",+C123+1)</f>
        <v>2049</v>
      </c>
      <c r="D124" s="12">
        <f>IF(F123+SUM(E$99:E123)=D$92,F123,D$92-SUM(E$99:E123))</f>
        <v>919900.60999999987</v>
      </c>
      <c r="E124" s="56">
        <f t="shared" si="25"/>
        <v>70761</v>
      </c>
      <c r="F124" s="55">
        <f t="shared" si="26"/>
        <v>849139.60999999987</v>
      </c>
      <c r="G124" s="55">
        <f t="shared" si="27"/>
        <v>884520.10999999987</v>
      </c>
      <c r="H124" s="113">
        <f t="shared" si="18"/>
        <v>176568.25673888109</v>
      </c>
      <c r="I124" s="122">
        <f t="shared" si="19"/>
        <v>176568.25673888109</v>
      </c>
      <c r="J124" s="54">
        <f t="shared" si="20"/>
        <v>0</v>
      </c>
      <c r="K124" s="54"/>
      <c r="L124" s="115"/>
      <c r="M124" s="54">
        <f t="shared" si="21"/>
        <v>0</v>
      </c>
      <c r="N124" s="115"/>
      <c r="O124" s="54">
        <f t="shared" si="22"/>
        <v>0</v>
      </c>
      <c r="P124" s="54">
        <f t="shared" si="23"/>
        <v>0</v>
      </c>
    </row>
    <row r="125" spans="2:16">
      <c r="B125" s="7" t="str">
        <f t="shared" si="24"/>
        <v/>
      </c>
      <c r="C125" s="50">
        <f>IF(D93="","-",+C124+1)</f>
        <v>2050</v>
      </c>
      <c r="D125" s="12">
        <f>IF(F124+SUM(E$99:E124)=D$92,F124,D$92-SUM(E$99:E124))</f>
        <v>849139.60999999987</v>
      </c>
      <c r="E125" s="56">
        <f t="shared" si="25"/>
        <v>70761</v>
      </c>
      <c r="F125" s="55">
        <f t="shared" si="26"/>
        <v>778378.60999999987</v>
      </c>
      <c r="G125" s="55">
        <f t="shared" si="27"/>
        <v>813759.10999999987</v>
      </c>
      <c r="H125" s="113">
        <f t="shared" si="18"/>
        <v>168103.74902508815</v>
      </c>
      <c r="I125" s="122">
        <f t="shared" si="19"/>
        <v>168103.74902508815</v>
      </c>
      <c r="J125" s="54">
        <f t="shared" si="20"/>
        <v>0</v>
      </c>
      <c r="K125" s="54"/>
      <c r="L125" s="115"/>
      <c r="M125" s="54">
        <f t="shared" si="21"/>
        <v>0</v>
      </c>
      <c r="N125" s="115"/>
      <c r="O125" s="54">
        <f t="shared" si="22"/>
        <v>0</v>
      </c>
      <c r="P125" s="54">
        <f t="shared" si="23"/>
        <v>0</v>
      </c>
    </row>
    <row r="126" spans="2:16">
      <c r="B126" s="7" t="str">
        <f t="shared" si="24"/>
        <v/>
      </c>
      <c r="C126" s="50">
        <f>IF(D93="","-",+C125+1)</f>
        <v>2051</v>
      </c>
      <c r="D126" s="12">
        <f>IF(F125+SUM(E$99:E125)=D$92,F125,D$92-SUM(E$99:E125))</f>
        <v>778378.60999999987</v>
      </c>
      <c r="E126" s="56">
        <f t="shared" si="25"/>
        <v>70761</v>
      </c>
      <c r="F126" s="55">
        <f t="shared" si="26"/>
        <v>707617.60999999987</v>
      </c>
      <c r="G126" s="55">
        <f t="shared" si="27"/>
        <v>742998.10999999987</v>
      </c>
      <c r="H126" s="113">
        <f t="shared" si="18"/>
        <v>159639.24131129525</v>
      </c>
      <c r="I126" s="122">
        <f t="shared" si="19"/>
        <v>159639.24131129525</v>
      </c>
      <c r="J126" s="54">
        <f t="shared" si="20"/>
        <v>0</v>
      </c>
      <c r="K126" s="54"/>
      <c r="L126" s="115"/>
      <c r="M126" s="54">
        <f t="shared" si="21"/>
        <v>0</v>
      </c>
      <c r="N126" s="115"/>
      <c r="O126" s="54">
        <f t="shared" si="22"/>
        <v>0</v>
      </c>
      <c r="P126" s="54">
        <f t="shared" si="23"/>
        <v>0</v>
      </c>
    </row>
    <row r="127" spans="2:16">
      <c r="B127" s="7" t="str">
        <f t="shared" si="24"/>
        <v/>
      </c>
      <c r="C127" s="50">
        <f>IF(D93="","-",+C126+1)</f>
        <v>2052</v>
      </c>
      <c r="D127" s="12">
        <f>IF(F126+SUM(E$99:E126)=D$92,F126,D$92-SUM(E$99:E126))</f>
        <v>707617.60999999987</v>
      </c>
      <c r="E127" s="56">
        <f t="shared" si="25"/>
        <v>70761</v>
      </c>
      <c r="F127" s="55">
        <f t="shared" si="26"/>
        <v>636856.60999999987</v>
      </c>
      <c r="G127" s="55">
        <f t="shared" si="27"/>
        <v>672237.10999999987</v>
      </c>
      <c r="H127" s="113">
        <f t="shared" si="18"/>
        <v>151174.73359750232</v>
      </c>
      <c r="I127" s="122">
        <f t="shared" si="19"/>
        <v>151174.73359750232</v>
      </c>
      <c r="J127" s="54">
        <f t="shared" si="20"/>
        <v>0</v>
      </c>
      <c r="K127" s="54"/>
      <c r="L127" s="115"/>
      <c r="M127" s="54">
        <f t="shared" si="21"/>
        <v>0</v>
      </c>
      <c r="N127" s="115"/>
      <c r="O127" s="54">
        <f t="shared" si="22"/>
        <v>0</v>
      </c>
      <c r="P127" s="54">
        <f t="shared" si="23"/>
        <v>0</v>
      </c>
    </row>
    <row r="128" spans="2:16">
      <c r="B128" s="7" t="str">
        <f t="shared" si="24"/>
        <v/>
      </c>
      <c r="C128" s="50">
        <f>IF(D93="","-",+C127+1)</f>
        <v>2053</v>
      </c>
      <c r="D128" s="12">
        <f>IF(F127+SUM(E$99:E127)=D$92,F127,D$92-SUM(E$99:E127))</f>
        <v>636856.60999999987</v>
      </c>
      <c r="E128" s="56">
        <f t="shared" si="25"/>
        <v>70761</v>
      </c>
      <c r="F128" s="55">
        <f t="shared" si="26"/>
        <v>566095.60999999987</v>
      </c>
      <c r="G128" s="55">
        <f t="shared" si="27"/>
        <v>601476.10999999987</v>
      </c>
      <c r="H128" s="113">
        <f t="shared" si="18"/>
        <v>142710.22588370938</v>
      </c>
      <c r="I128" s="122">
        <f t="shared" si="19"/>
        <v>142710.22588370938</v>
      </c>
      <c r="J128" s="54">
        <f t="shared" si="20"/>
        <v>0</v>
      </c>
      <c r="K128" s="54"/>
      <c r="L128" s="115"/>
      <c r="M128" s="54">
        <f t="shared" si="21"/>
        <v>0</v>
      </c>
      <c r="N128" s="115"/>
      <c r="O128" s="54">
        <f t="shared" si="22"/>
        <v>0</v>
      </c>
      <c r="P128" s="54">
        <f t="shared" si="23"/>
        <v>0</v>
      </c>
    </row>
    <row r="129" spans="2:16">
      <c r="B129" s="7" t="str">
        <f t="shared" si="24"/>
        <v/>
      </c>
      <c r="C129" s="50">
        <f>IF(D93="","-",+C128+1)</f>
        <v>2054</v>
      </c>
      <c r="D129" s="12">
        <f>IF(F128+SUM(E$99:E128)=D$92,F128,D$92-SUM(E$99:E128))</f>
        <v>566095.60999999987</v>
      </c>
      <c r="E129" s="56">
        <f t="shared" si="25"/>
        <v>70761</v>
      </c>
      <c r="F129" s="55">
        <f t="shared" si="26"/>
        <v>495334.60999999987</v>
      </c>
      <c r="G129" s="55">
        <f t="shared" si="27"/>
        <v>530715.10999999987</v>
      </c>
      <c r="H129" s="113">
        <f t="shared" si="18"/>
        <v>134245.71816991648</v>
      </c>
      <c r="I129" s="122">
        <f t="shared" si="19"/>
        <v>134245.71816991648</v>
      </c>
      <c r="J129" s="54">
        <f t="shared" si="20"/>
        <v>0</v>
      </c>
      <c r="K129" s="54"/>
      <c r="L129" s="115"/>
      <c r="M129" s="54">
        <f t="shared" si="21"/>
        <v>0</v>
      </c>
      <c r="N129" s="115"/>
      <c r="O129" s="54">
        <f t="shared" si="22"/>
        <v>0</v>
      </c>
      <c r="P129" s="54">
        <f t="shared" si="23"/>
        <v>0</v>
      </c>
    </row>
    <row r="130" spans="2:16">
      <c r="B130" s="7" t="str">
        <f t="shared" si="24"/>
        <v/>
      </c>
      <c r="C130" s="50">
        <f>IF(D93="","-",+C129+1)</f>
        <v>2055</v>
      </c>
      <c r="D130" s="12">
        <f>IF(F129+SUM(E$99:E129)=D$92,F129,D$92-SUM(E$99:E129))</f>
        <v>495334.60999999987</v>
      </c>
      <c r="E130" s="56">
        <f t="shared" si="25"/>
        <v>70761</v>
      </c>
      <c r="F130" s="55">
        <f t="shared" si="26"/>
        <v>424573.60999999987</v>
      </c>
      <c r="G130" s="55">
        <f t="shared" si="27"/>
        <v>459954.10999999987</v>
      </c>
      <c r="H130" s="113">
        <f t="shared" si="18"/>
        <v>125781.21045612355</v>
      </c>
      <c r="I130" s="122">
        <f t="shared" si="19"/>
        <v>125781.21045612355</v>
      </c>
      <c r="J130" s="54">
        <f t="shared" si="20"/>
        <v>0</v>
      </c>
      <c r="K130" s="54"/>
      <c r="L130" s="115"/>
      <c r="M130" s="54">
        <f t="shared" si="21"/>
        <v>0</v>
      </c>
      <c r="N130" s="115"/>
      <c r="O130" s="54">
        <f t="shared" si="22"/>
        <v>0</v>
      </c>
      <c r="P130" s="54">
        <f t="shared" si="23"/>
        <v>0</v>
      </c>
    </row>
    <row r="131" spans="2:16">
      <c r="B131" s="7" t="str">
        <f t="shared" si="24"/>
        <v/>
      </c>
      <c r="C131" s="50">
        <f>IF(D93="","-",+C130+1)</f>
        <v>2056</v>
      </c>
      <c r="D131" s="12">
        <f>IF(F130+SUM(E$99:E130)=D$92,F130,D$92-SUM(E$99:E130))</f>
        <v>424573.60999999987</v>
      </c>
      <c r="E131" s="56">
        <f t="shared" si="25"/>
        <v>70761</v>
      </c>
      <c r="F131" s="55">
        <f t="shared" si="26"/>
        <v>353812.60999999987</v>
      </c>
      <c r="G131" s="55">
        <f t="shared" si="27"/>
        <v>389193.10999999987</v>
      </c>
      <c r="H131" s="113">
        <f t="shared" si="18"/>
        <v>117316.70274233061</v>
      </c>
      <c r="I131" s="122">
        <f t="shared" si="19"/>
        <v>117316.70274233061</v>
      </c>
      <c r="J131" s="54">
        <f t="shared" ref="J131:J154" si="28">+I541-H541</f>
        <v>0</v>
      </c>
      <c r="K131" s="54"/>
      <c r="L131" s="115"/>
      <c r="M131" s="54">
        <f t="shared" ref="M131:M154" si="29">IF(L541&lt;&gt;0,+H541-L541,0)</f>
        <v>0</v>
      </c>
      <c r="N131" s="115"/>
      <c r="O131" s="54">
        <f t="shared" ref="O131:O154" si="30">IF(N541&lt;&gt;0,+I541-N541,0)</f>
        <v>0</v>
      </c>
      <c r="P131" s="54">
        <f t="shared" ref="P131:P154" si="31">+O541-M541</f>
        <v>0</v>
      </c>
    </row>
    <row r="132" spans="2:16">
      <c r="B132" s="7" t="str">
        <f t="shared" si="24"/>
        <v/>
      </c>
      <c r="C132" s="50">
        <f>IF(D93="","-",+C131+1)</f>
        <v>2057</v>
      </c>
      <c r="D132" s="12">
        <f>IF(F131+SUM(E$99:E131)=D$92,F131,D$92-SUM(E$99:E131))</f>
        <v>353812.60999999987</v>
      </c>
      <c r="E132" s="56">
        <f t="shared" si="25"/>
        <v>70761</v>
      </c>
      <c r="F132" s="55">
        <f t="shared" si="26"/>
        <v>283051.60999999987</v>
      </c>
      <c r="G132" s="55">
        <f t="shared" si="27"/>
        <v>318432.10999999987</v>
      </c>
      <c r="H132" s="113">
        <f t="shared" si="18"/>
        <v>108852.1950285377</v>
      </c>
      <c r="I132" s="122">
        <f t="shared" si="19"/>
        <v>108852.1950285377</v>
      </c>
      <c r="J132" s="54">
        <f t="shared" si="28"/>
        <v>0</v>
      </c>
      <c r="K132" s="54"/>
      <c r="L132" s="115"/>
      <c r="M132" s="54">
        <f t="shared" si="29"/>
        <v>0</v>
      </c>
      <c r="N132" s="115"/>
      <c r="O132" s="54">
        <f t="shared" si="30"/>
        <v>0</v>
      </c>
      <c r="P132" s="54">
        <f t="shared" si="31"/>
        <v>0</v>
      </c>
    </row>
    <row r="133" spans="2:16">
      <c r="B133" s="7" t="str">
        <f t="shared" si="24"/>
        <v/>
      </c>
      <c r="C133" s="50">
        <f>IF(D93="","-",+C132+1)</f>
        <v>2058</v>
      </c>
      <c r="D133" s="12">
        <f>IF(F132+SUM(E$99:E132)=D$92,F132,D$92-SUM(E$99:E132))</f>
        <v>283051.60999999987</v>
      </c>
      <c r="E133" s="56">
        <f t="shared" si="25"/>
        <v>70761</v>
      </c>
      <c r="F133" s="55">
        <f t="shared" si="26"/>
        <v>212290.60999999987</v>
      </c>
      <c r="G133" s="55">
        <f t="shared" si="27"/>
        <v>247671.10999999987</v>
      </c>
      <c r="H133" s="113">
        <f t="shared" si="18"/>
        <v>100387.68731474478</v>
      </c>
      <c r="I133" s="122">
        <f t="shared" si="19"/>
        <v>100387.68731474478</v>
      </c>
      <c r="J133" s="54">
        <f t="shared" si="28"/>
        <v>0</v>
      </c>
      <c r="K133" s="54"/>
      <c r="L133" s="115"/>
      <c r="M133" s="54">
        <f t="shared" si="29"/>
        <v>0</v>
      </c>
      <c r="N133" s="115"/>
      <c r="O133" s="54">
        <f t="shared" si="30"/>
        <v>0</v>
      </c>
      <c r="P133" s="54">
        <f t="shared" si="31"/>
        <v>0</v>
      </c>
    </row>
    <row r="134" spans="2:16">
      <c r="B134" s="7" t="str">
        <f t="shared" si="24"/>
        <v/>
      </c>
      <c r="C134" s="50">
        <f>IF(D93="","-",+C133+1)</f>
        <v>2059</v>
      </c>
      <c r="D134" s="12">
        <f>IF(F133+SUM(E$99:E133)=D$92,F133,D$92-SUM(E$99:E133))</f>
        <v>212290.60999999987</v>
      </c>
      <c r="E134" s="56">
        <f t="shared" si="25"/>
        <v>70761</v>
      </c>
      <c r="F134" s="55">
        <f t="shared" si="26"/>
        <v>141529.60999999987</v>
      </c>
      <c r="G134" s="55">
        <f t="shared" si="27"/>
        <v>176910.10999999987</v>
      </c>
      <c r="H134" s="113">
        <f t="shared" si="18"/>
        <v>91923.179600951844</v>
      </c>
      <c r="I134" s="122">
        <f t="shared" si="19"/>
        <v>91923.179600951844</v>
      </c>
      <c r="J134" s="54">
        <f t="shared" si="28"/>
        <v>0</v>
      </c>
      <c r="K134" s="54"/>
      <c r="L134" s="115"/>
      <c r="M134" s="54">
        <f t="shared" si="29"/>
        <v>0</v>
      </c>
      <c r="N134" s="115"/>
      <c r="O134" s="54">
        <f t="shared" si="30"/>
        <v>0</v>
      </c>
      <c r="P134" s="54">
        <f t="shared" si="31"/>
        <v>0</v>
      </c>
    </row>
    <row r="135" spans="2:16">
      <c r="B135" s="7" t="str">
        <f t="shared" si="24"/>
        <v/>
      </c>
      <c r="C135" s="50">
        <f>IF(D93="","-",+C134+1)</f>
        <v>2060</v>
      </c>
      <c r="D135" s="12">
        <f>IF(F134+SUM(E$99:E134)=D$92,F134,D$92-SUM(E$99:E134))</f>
        <v>141529.60999999987</v>
      </c>
      <c r="E135" s="56">
        <f t="shared" si="25"/>
        <v>70761</v>
      </c>
      <c r="F135" s="55">
        <f t="shared" si="26"/>
        <v>70768.60999999987</v>
      </c>
      <c r="G135" s="55">
        <f t="shared" si="27"/>
        <v>106149.10999999987</v>
      </c>
      <c r="H135" s="113">
        <f t="shared" si="18"/>
        <v>83458.671887158926</v>
      </c>
      <c r="I135" s="122">
        <f t="shared" si="19"/>
        <v>83458.671887158926</v>
      </c>
      <c r="J135" s="54">
        <f t="shared" si="28"/>
        <v>0</v>
      </c>
      <c r="K135" s="54"/>
      <c r="L135" s="115"/>
      <c r="M135" s="54">
        <f t="shared" si="29"/>
        <v>0</v>
      </c>
      <c r="N135" s="115"/>
      <c r="O135" s="54">
        <f t="shared" si="30"/>
        <v>0</v>
      </c>
      <c r="P135" s="54">
        <f t="shared" si="31"/>
        <v>0</v>
      </c>
    </row>
    <row r="136" spans="2:16">
      <c r="B136" s="7" t="str">
        <f t="shared" si="24"/>
        <v/>
      </c>
      <c r="C136" s="50">
        <f>IF(D93="","-",+C135+1)</f>
        <v>2061</v>
      </c>
      <c r="D136" s="12">
        <f>IF(F135+SUM(E$99:E135)=D$92,F135,D$92-SUM(E$99:E135))</f>
        <v>70768.60999999987</v>
      </c>
      <c r="E136" s="56">
        <f t="shared" si="25"/>
        <v>70761</v>
      </c>
      <c r="F136" s="55">
        <f t="shared" si="26"/>
        <v>7.6099999998696148</v>
      </c>
      <c r="G136" s="55">
        <f t="shared" si="27"/>
        <v>35388.10999999987</v>
      </c>
      <c r="H136" s="113">
        <f t="shared" si="18"/>
        <v>74994.164173365993</v>
      </c>
      <c r="I136" s="122">
        <f t="shared" si="19"/>
        <v>74994.164173365993</v>
      </c>
      <c r="J136" s="54">
        <f t="shared" si="28"/>
        <v>0</v>
      </c>
      <c r="K136" s="54"/>
      <c r="L136" s="115"/>
      <c r="M136" s="54">
        <f t="shared" si="29"/>
        <v>0</v>
      </c>
      <c r="N136" s="115"/>
      <c r="O136" s="54">
        <f t="shared" si="30"/>
        <v>0</v>
      </c>
      <c r="P136" s="54">
        <f t="shared" si="31"/>
        <v>0</v>
      </c>
    </row>
    <row r="137" spans="2:16">
      <c r="B137" s="7" t="str">
        <f t="shared" si="24"/>
        <v/>
      </c>
      <c r="C137" s="50">
        <f>IF(D93="","-",+C136+1)</f>
        <v>2062</v>
      </c>
      <c r="D137" s="12">
        <f>IF(F136+SUM(E$99:E136)=D$92,F136,D$92-SUM(E$99:E136))</f>
        <v>7.6099999998696148</v>
      </c>
      <c r="E137" s="56">
        <f t="shared" si="25"/>
        <v>7.6099999998696148</v>
      </c>
      <c r="F137" s="55">
        <f t="shared" si="26"/>
        <v>0</v>
      </c>
      <c r="G137" s="55">
        <f t="shared" si="27"/>
        <v>3.8049999999348074</v>
      </c>
      <c r="H137" s="113">
        <f t="shared" si="18"/>
        <v>8.0651582346377815</v>
      </c>
      <c r="I137" s="122">
        <f t="shared" si="19"/>
        <v>8.0651582346377815</v>
      </c>
      <c r="J137" s="54">
        <f t="shared" si="28"/>
        <v>0</v>
      </c>
      <c r="K137" s="54"/>
      <c r="L137" s="115"/>
      <c r="M137" s="54">
        <f t="shared" si="29"/>
        <v>0</v>
      </c>
      <c r="N137" s="115"/>
      <c r="O137" s="54">
        <f t="shared" si="30"/>
        <v>0</v>
      </c>
      <c r="P137" s="54">
        <f t="shared" si="31"/>
        <v>0</v>
      </c>
    </row>
    <row r="138" spans="2:16">
      <c r="B138" s="7" t="str">
        <f t="shared" si="24"/>
        <v/>
      </c>
      <c r="C138" s="50">
        <f>IF(D93="","-",+C137+1)</f>
        <v>2063</v>
      </c>
      <c r="D138" s="12">
        <f>IF(F137+SUM(E$99:E137)=D$92,F137,D$92-SUM(E$99:E137))</f>
        <v>0</v>
      </c>
      <c r="E138" s="56">
        <f t="shared" si="25"/>
        <v>0</v>
      </c>
      <c r="F138" s="55">
        <f t="shared" si="26"/>
        <v>0</v>
      </c>
      <c r="G138" s="55">
        <f t="shared" si="27"/>
        <v>0</v>
      </c>
      <c r="H138" s="113">
        <f t="shared" si="18"/>
        <v>0</v>
      </c>
      <c r="I138" s="122">
        <f t="shared" si="19"/>
        <v>0</v>
      </c>
      <c r="J138" s="54">
        <f t="shared" si="28"/>
        <v>0</v>
      </c>
      <c r="K138" s="54"/>
      <c r="L138" s="115"/>
      <c r="M138" s="54">
        <f t="shared" si="29"/>
        <v>0</v>
      </c>
      <c r="N138" s="115"/>
      <c r="O138" s="54">
        <f t="shared" si="30"/>
        <v>0</v>
      </c>
      <c r="P138" s="54">
        <f t="shared" si="31"/>
        <v>0</v>
      </c>
    </row>
    <row r="139" spans="2:16">
      <c r="B139" s="7" t="str">
        <f t="shared" si="24"/>
        <v/>
      </c>
      <c r="C139" s="50">
        <f>IF(D93="","-",+C138+1)</f>
        <v>2064</v>
      </c>
      <c r="D139" s="12">
        <f>IF(F138+SUM(E$99:E138)=D$92,F138,D$92-SUM(E$99:E138))</f>
        <v>0</v>
      </c>
      <c r="E139" s="56">
        <f t="shared" si="25"/>
        <v>0</v>
      </c>
      <c r="F139" s="55">
        <f t="shared" si="26"/>
        <v>0</v>
      </c>
      <c r="G139" s="55">
        <f t="shared" si="27"/>
        <v>0</v>
      </c>
      <c r="H139" s="113">
        <f t="shared" si="18"/>
        <v>0</v>
      </c>
      <c r="I139" s="122">
        <f t="shared" si="19"/>
        <v>0</v>
      </c>
      <c r="J139" s="54">
        <f t="shared" si="28"/>
        <v>0</v>
      </c>
      <c r="K139" s="54"/>
      <c r="L139" s="115"/>
      <c r="M139" s="54">
        <f t="shared" si="29"/>
        <v>0</v>
      </c>
      <c r="N139" s="115"/>
      <c r="O139" s="54">
        <f t="shared" si="30"/>
        <v>0</v>
      </c>
      <c r="P139" s="54">
        <f t="shared" si="31"/>
        <v>0</v>
      </c>
    </row>
    <row r="140" spans="2:16">
      <c r="B140" s="7" t="str">
        <f t="shared" si="24"/>
        <v/>
      </c>
      <c r="C140" s="50">
        <f>IF(D93="","-",+C139+1)</f>
        <v>2065</v>
      </c>
      <c r="D140" s="12">
        <f>IF(F139+SUM(E$99:E139)=D$92,F139,D$92-SUM(E$99:E139))</f>
        <v>0</v>
      </c>
      <c r="E140" s="56">
        <f t="shared" si="25"/>
        <v>0</v>
      </c>
      <c r="F140" s="55">
        <f t="shared" si="26"/>
        <v>0</v>
      </c>
      <c r="G140" s="55">
        <f t="shared" si="27"/>
        <v>0</v>
      </c>
      <c r="H140" s="113">
        <f t="shared" si="18"/>
        <v>0</v>
      </c>
      <c r="I140" s="122">
        <f t="shared" si="19"/>
        <v>0</v>
      </c>
      <c r="J140" s="54">
        <f t="shared" si="28"/>
        <v>0</v>
      </c>
      <c r="K140" s="54"/>
      <c r="L140" s="115"/>
      <c r="M140" s="54">
        <f t="shared" si="29"/>
        <v>0</v>
      </c>
      <c r="N140" s="115"/>
      <c r="O140" s="54">
        <f t="shared" si="30"/>
        <v>0</v>
      </c>
      <c r="P140" s="54">
        <f t="shared" si="31"/>
        <v>0</v>
      </c>
    </row>
    <row r="141" spans="2:16">
      <c r="B141" s="7" t="str">
        <f t="shared" si="24"/>
        <v/>
      </c>
      <c r="C141" s="50">
        <f>IF(D93="","-",+C140+1)</f>
        <v>2066</v>
      </c>
      <c r="D141" s="12">
        <f>IF(F140+SUM(E$99:E140)=D$92,F140,D$92-SUM(E$99:E140))</f>
        <v>0</v>
      </c>
      <c r="E141" s="56">
        <f t="shared" si="25"/>
        <v>0</v>
      </c>
      <c r="F141" s="55">
        <f t="shared" si="26"/>
        <v>0</v>
      </c>
      <c r="G141" s="55">
        <f t="shared" si="27"/>
        <v>0</v>
      </c>
      <c r="H141" s="113">
        <f t="shared" si="18"/>
        <v>0</v>
      </c>
      <c r="I141" s="122">
        <f t="shared" si="19"/>
        <v>0</v>
      </c>
      <c r="J141" s="54">
        <f t="shared" si="28"/>
        <v>0</v>
      </c>
      <c r="K141" s="54"/>
      <c r="L141" s="115"/>
      <c r="M141" s="54">
        <f t="shared" si="29"/>
        <v>0</v>
      </c>
      <c r="N141" s="115"/>
      <c r="O141" s="54">
        <f t="shared" si="30"/>
        <v>0</v>
      </c>
      <c r="P141" s="54">
        <f t="shared" si="31"/>
        <v>0</v>
      </c>
    </row>
    <row r="142" spans="2:16">
      <c r="B142" s="7" t="str">
        <f t="shared" si="24"/>
        <v/>
      </c>
      <c r="C142" s="50">
        <f>IF(D93="","-",+C141+1)</f>
        <v>2067</v>
      </c>
      <c r="D142" s="12">
        <f>IF(F141+SUM(E$99:E141)=D$92,F141,D$92-SUM(E$99:E141))</f>
        <v>0</v>
      </c>
      <c r="E142" s="56">
        <f t="shared" si="25"/>
        <v>0</v>
      </c>
      <c r="F142" s="55">
        <f t="shared" si="26"/>
        <v>0</v>
      </c>
      <c r="G142" s="55">
        <f t="shared" si="27"/>
        <v>0</v>
      </c>
      <c r="H142" s="113">
        <f t="shared" si="18"/>
        <v>0</v>
      </c>
      <c r="I142" s="122">
        <f t="shared" si="19"/>
        <v>0</v>
      </c>
      <c r="J142" s="54">
        <f t="shared" si="28"/>
        <v>0</v>
      </c>
      <c r="K142" s="54"/>
      <c r="L142" s="115"/>
      <c r="M142" s="54">
        <f t="shared" si="29"/>
        <v>0</v>
      </c>
      <c r="N142" s="115"/>
      <c r="O142" s="54">
        <f t="shared" si="30"/>
        <v>0</v>
      </c>
      <c r="P142" s="54">
        <f t="shared" si="31"/>
        <v>0</v>
      </c>
    </row>
    <row r="143" spans="2:16">
      <c r="B143" s="7" t="str">
        <f t="shared" si="24"/>
        <v/>
      </c>
      <c r="C143" s="50">
        <f>IF(D93="","-",+C142+1)</f>
        <v>2068</v>
      </c>
      <c r="D143" s="12">
        <f>IF(F142+SUM(E$99:E142)=D$92,F142,D$92-SUM(E$99:E142))</f>
        <v>0</v>
      </c>
      <c r="E143" s="56">
        <f t="shared" si="25"/>
        <v>0</v>
      </c>
      <c r="F143" s="55">
        <f t="shared" si="26"/>
        <v>0</v>
      </c>
      <c r="G143" s="55">
        <f t="shared" si="27"/>
        <v>0</v>
      </c>
      <c r="H143" s="113">
        <f t="shared" si="18"/>
        <v>0</v>
      </c>
      <c r="I143" s="122">
        <f t="shared" si="19"/>
        <v>0</v>
      </c>
      <c r="J143" s="54">
        <f t="shared" si="28"/>
        <v>0</v>
      </c>
      <c r="K143" s="54"/>
      <c r="L143" s="115"/>
      <c r="M143" s="54">
        <f t="shared" si="29"/>
        <v>0</v>
      </c>
      <c r="N143" s="115"/>
      <c r="O143" s="54">
        <f t="shared" si="30"/>
        <v>0</v>
      </c>
      <c r="P143" s="54">
        <f t="shared" si="31"/>
        <v>0</v>
      </c>
    </row>
    <row r="144" spans="2:16">
      <c r="B144" s="7" t="str">
        <f t="shared" si="24"/>
        <v/>
      </c>
      <c r="C144" s="50">
        <f>IF(D93="","-",+C143+1)</f>
        <v>2069</v>
      </c>
      <c r="D144" s="12">
        <f>IF(F143+SUM(E$99:E143)=D$92,F143,D$92-SUM(E$99:E143))</f>
        <v>0</v>
      </c>
      <c r="E144" s="56">
        <f t="shared" si="25"/>
        <v>0</v>
      </c>
      <c r="F144" s="55">
        <f t="shared" si="26"/>
        <v>0</v>
      </c>
      <c r="G144" s="55">
        <f t="shared" si="27"/>
        <v>0</v>
      </c>
      <c r="H144" s="113">
        <f t="shared" si="18"/>
        <v>0</v>
      </c>
      <c r="I144" s="122">
        <f t="shared" si="19"/>
        <v>0</v>
      </c>
      <c r="J144" s="54">
        <f t="shared" si="28"/>
        <v>0</v>
      </c>
      <c r="K144" s="54"/>
      <c r="L144" s="115"/>
      <c r="M144" s="54">
        <f t="shared" si="29"/>
        <v>0</v>
      </c>
      <c r="N144" s="115"/>
      <c r="O144" s="54">
        <f t="shared" si="30"/>
        <v>0</v>
      </c>
      <c r="P144" s="54">
        <f t="shared" si="31"/>
        <v>0</v>
      </c>
    </row>
    <row r="145" spans="2:16">
      <c r="B145" s="7" t="str">
        <f t="shared" si="24"/>
        <v/>
      </c>
      <c r="C145" s="50">
        <f>IF(D93="","-",+C144+1)</f>
        <v>2070</v>
      </c>
      <c r="D145" s="12">
        <f>IF(F144+SUM(E$99:E144)=D$92,F144,D$92-SUM(E$99:E144))</f>
        <v>0</v>
      </c>
      <c r="E145" s="56">
        <f t="shared" si="25"/>
        <v>0</v>
      </c>
      <c r="F145" s="55">
        <f t="shared" si="26"/>
        <v>0</v>
      </c>
      <c r="G145" s="55">
        <f t="shared" si="27"/>
        <v>0</v>
      </c>
      <c r="H145" s="113">
        <f t="shared" si="18"/>
        <v>0</v>
      </c>
      <c r="I145" s="122">
        <f t="shared" si="19"/>
        <v>0</v>
      </c>
      <c r="J145" s="54">
        <f t="shared" si="28"/>
        <v>0</v>
      </c>
      <c r="K145" s="54"/>
      <c r="L145" s="115"/>
      <c r="M145" s="54">
        <f t="shared" si="29"/>
        <v>0</v>
      </c>
      <c r="N145" s="115"/>
      <c r="O145" s="54">
        <f t="shared" si="30"/>
        <v>0</v>
      </c>
      <c r="P145" s="54">
        <f t="shared" si="31"/>
        <v>0</v>
      </c>
    </row>
    <row r="146" spans="2:16">
      <c r="B146" s="7" t="str">
        <f t="shared" si="24"/>
        <v/>
      </c>
      <c r="C146" s="50">
        <f>IF(D93="","-",+C145+1)</f>
        <v>2071</v>
      </c>
      <c r="D146" s="12">
        <f>IF(F145+SUM(E$99:E145)=D$92,F145,D$92-SUM(E$99:E145))</f>
        <v>0</v>
      </c>
      <c r="E146" s="56">
        <f t="shared" si="25"/>
        <v>0</v>
      </c>
      <c r="F146" s="55">
        <f t="shared" si="26"/>
        <v>0</v>
      </c>
      <c r="G146" s="55">
        <f t="shared" si="27"/>
        <v>0</v>
      </c>
      <c r="H146" s="113">
        <f t="shared" si="18"/>
        <v>0</v>
      </c>
      <c r="I146" s="122">
        <f t="shared" si="19"/>
        <v>0</v>
      </c>
      <c r="J146" s="54">
        <f t="shared" si="28"/>
        <v>0</v>
      </c>
      <c r="K146" s="54"/>
      <c r="L146" s="115"/>
      <c r="M146" s="54">
        <f t="shared" si="29"/>
        <v>0</v>
      </c>
      <c r="N146" s="115"/>
      <c r="O146" s="54">
        <f t="shared" si="30"/>
        <v>0</v>
      </c>
      <c r="P146" s="54">
        <f t="shared" si="31"/>
        <v>0</v>
      </c>
    </row>
    <row r="147" spans="2:16">
      <c r="B147" s="7" t="str">
        <f t="shared" si="24"/>
        <v/>
      </c>
      <c r="C147" s="50">
        <f>IF(D93="","-",+C146+1)</f>
        <v>2072</v>
      </c>
      <c r="D147" s="12">
        <f>IF(F146+SUM(E$99:E146)=D$92,F146,D$92-SUM(E$99:E146))</f>
        <v>0</v>
      </c>
      <c r="E147" s="56">
        <f t="shared" si="25"/>
        <v>0</v>
      </c>
      <c r="F147" s="55">
        <f t="shared" si="26"/>
        <v>0</v>
      </c>
      <c r="G147" s="55">
        <f t="shared" si="27"/>
        <v>0</v>
      </c>
      <c r="H147" s="113">
        <f t="shared" si="18"/>
        <v>0</v>
      </c>
      <c r="I147" s="122">
        <f t="shared" si="19"/>
        <v>0</v>
      </c>
      <c r="J147" s="54">
        <f t="shared" si="28"/>
        <v>0</v>
      </c>
      <c r="K147" s="54"/>
      <c r="L147" s="115"/>
      <c r="M147" s="54">
        <f t="shared" si="29"/>
        <v>0</v>
      </c>
      <c r="N147" s="115"/>
      <c r="O147" s="54">
        <f t="shared" si="30"/>
        <v>0</v>
      </c>
      <c r="P147" s="54">
        <f t="shared" si="31"/>
        <v>0</v>
      </c>
    </row>
    <row r="148" spans="2:16">
      <c r="B148" s="7" t="str">
        <f t="shared" si="24"/>
        <v/>
      </c>
      <c r="C148" s="50">
        <f>IF(D93="","-",+C147+1)</f>
        <v>2073</v>
      </c>
      <c r="D148" s="12">
        <f>IF(F147+SUM(E$99:E147)=D$92,F147,D$92-SUM(E$99:E147))</f>
        <v>0</v>
      </c>
      <c r="E148" s="56">
        <f t="shared" si="25"/>
        <v>0</v>
      </c>
      <c r="F148" s="55">
        <f t="shared" si="26"/>
        <v>0</v>
      </c>
      <c r="G148" s="55">
        <f t="shared" si="27"/>
        <v>0</v>
      </c>
      <c r="H148" s="113">
        <f t="shared" si="18"/>
        <v>0</v>
      </c>
      <c r="I148" s="122">
        <f t="shared" si="19"/>
        <v>0</v>
      </c>
      <c r="J148" s="54">
        <f t="shared" si="28"/>
        <v>0</v>
      </c>
      <c r="K148" s="54"/>
      <c r="L148" s="115"/>
      <c r="M148" s="54">
        <f t="shared" si="29"/>
        <v>0</v>
      </c>
      <c r="N148" s="115"/>
      <c r="O148" s="54">
        <f t="shared" si="30"/>
        <v>0</v>
      </c>
      <c r="P148" s="54">
        <f t="shared" si="31"/>
        <v>0</v>
      </c>
    </row>
    <row r="149" spans="2:16">
      <c r="B149" s="7" t="str">
        <f t="shared" si="24"/>
        <v/>
      </c>
      <c r="C149" s="50">
        <f>IF(D93="","-",+C148+1)</f>
        <v>2074</v>
      </c>
      <c r="D149" s="12">
        <f>IF(F148+SUM(E$99:E148)=D$92,F148,D$92-SUM(E$99:E148))</f>
        <v>0</v>
      </c>
      <c r="E149" s="56">
        <f t="shared" si="25"/>
        <v>0</v>
      </c>
      <c r="F149" s="55">
        <f t="shared" si="26"/>
        <v>0</v>
      </c>
      <c r="G149" s="55">
        <f t="shared" si="27"/>
        <v>0</v>
      </c>
      <c r="H149" s="113">
        <f t="shared" si="18"/>
        <v>0</v>
      </c>
      <c r="I149" s="122">
        <f t="shared" si="19"/>
        <v>0</v>
      </c>
      <c r="J149" s="54">
        <f t="shared" si="28"/>
        <v>0</v>
      </c>
      <c r="K149" s="54"/>
      <c r="L149" s="115"/>
      <c r="M149" s="54">
        <f t="shared" si="29"/>
        <v>0</v>
      </c>
      <c r="N149" s="115"/>
      <c r="O149" s="54">
        <f t="shared" si="30"/>
        <v>0</v>
      </c>
      <c r="P149" s="54">
        <f t="shared" si="31"/>
        <v>0</v>
      </c>
    </row>
    <row r="150" spans="2:16">
      <c r="B150" s="7" t="str">
        <f t="shared" si="24"/>
        <v/>
      </c>
      <c r="C150" s="50">
        <f>IF(D93="","-",+C149+1)</f>
        <v>2075</v>
      </c>
      <c r="D150" s="12">
        <f>IF(F149+SUM(E$99:E149)=D$92,F149,D$92-SUM(E$99:E149))</f>
        <v>0</v>
      </c>
      <c r="E150" s="56">
        <f t="shared" si="25"/>
        <v>0</v>
      </c>
      <c r="F150" s="55">
        <f t="shared" si="26"/>
        <v>0</v>
      </c>
      <c r="G150" s="55">
        <f t="shared" si="27"/>
        <v>0</v>
      </c>
      <c r="H150" s="113">
        <f t="shared" si="18"/>
        <v>0</v>
      </c>
      <c r="I150" s="122">
        <f t="shared" si="19"/>
        <v>0</v>
      </c>
      <c r="J150" s="54">
        <f t="shared" si="28"/>
        <v>0</v>
      </c>
      <c r="K150" s="54"/>
      <c r="L150" s="115"/>
      <c r="M150" s="54">
        <f t="shared" si="29"/>
        <v>0</v>
      </c>
      <c r="N150" s="115"/>
      <c r="O150" s="54">
        <f t="shared" si="30"/>
        <v>0</v>
      </c>
      <c r="P150" s="54">
        <f t="shared" si="31"/>
        <v>0</v>
      </c>
    </row>
    <row r="151" spans="2:16">
      <c r="B151" s="7" t="str">
        <f t="shared" si="24"/>
        <v/>
      </c>
      <c r="C151" s="50">
        <f>IF(D93="","-",+C150+1)</f>
        <v>2076</v>
      </c>
      <c r="D151" s="12">
        <f>IF(F150+SUM(E$99:E150)=D$92,F150,D$92-SUM(E$99:E150))</f>
        <v>0</v>
      </c>
      <c r="E151" s="56">
        <f t="shared" si="25"/>
        <v>0</v>
      </c>
      <c r="F151" s="55">
        <f t="shared" si="26"/>
        <v>0</v>
      </c>
      <c r="G151" s="55">
        <f t="shared" si="27"/>
        <v>0</v>
      </c>
      <c r="H151" s="113">
        <f t="shared" si="18"/>
        <v>0</v>
      </c>
      <c r="I151" s="122">
        <f t="shared" si="19"/>
        <v>0</v>
      </c>
      <c r="J151" s="54">
        <f t="shared" si="28"/>
        <v>0</v>
      </c>
      <c r="K151" s="54"/>
      <c r="L151" s="115"/>
      <c r="M151" s="54">
        <f t="shared" si="29"/>
        <v>0</v>
      </c>
      <c r="N151" s="115"/>
      <c r="O151" s="54">
        <f t="shared" si="30"/>
        <v>0</v>
      </c>
      <c r="P151" s="54">
        <f t="shared" si="31"/>
        <v>0</v>
      </c>
    </row>
    <row r="152" spans="2:16">
      <c r="B152" s="7" t="str">
        <f t="shared" si="24"/>
        <v/>
      </c>
      <c r="C152" s="50">
        <f>IF(D93="","-",+C151+1)</f>
        <v>2077</v>
      </c>
      <c r="D152" s="12">
        <f>IF(F151+SUM(E$99:E151)=D$92,F151,D$92-SUM(E$99:E151))</f>
        <v>0</v>
      </c>
      <c r="E152" s="56">
        <f t="shared" si="25"/>
        <v>0</v>
      </c>
      <c r="F152" s="55">
        <f t="shared" si="26"/>
        <v>0</v>
      </c>
      <c r="G152" s="55">
        <f t="shared" si="27"/>
        <v>0</v>
      </c>
      <c r="H152" s="113">
        <f t="shared" si="18"/>
        <v>0</v>
      </c>
      <c r="I152" s="122">
        <f t="shared" si="19"/>
        <v>0</v>
      </c>
      <c r="J152" s="54">
        <f t="shared" si="28"/>
        <v>0</v>
      </c>
      <c r="K152" s="54"/>
      <c r="L152" s="115"/>
      <c r="M152" s="54">
        <f t="shared" si="29"/>
        <v>0</v>
      </c>
      <c r="N152" s="115"/>
      <c r="O152" s="54">
        <f t="shared" si="30"/>
        <v>0</v>
      </c>
      <c r="P152" s="54">
        <f t="shared" si="31"/>
        <v>0</v>
      </c>
    </row>
    <row r="153" spans="2:16">
      <c r="B153" s="7" t="str">
        <f t="shared" si="24"/>
        <v/>
      </c>
      <c r="C153" s="50">
        <f>IF(D93="","-",+C152+1)</f>
        <v>2078</v>
      </c>
      <c r="D153" s="12">
        <f>IF(F152+SUM(E$99:E152)=D$92,F152,D$92-SUM(E$99:E152))</f>
        <v>0</v>
      </c>
      <c r="E153" s="56">
        <f t="shared" si="25"/>
        <v>0</v>
      </c>
      <c r="F153" s="55">
        <f t="shared" si="26"/>
        <v>0</v>
      </c>
      <c r="G153" s="55">
        <f t="shared" si="27"/>
        <v>0</v>
      </c>
      <c r="H153" s="113">
        <f t="shared" si="18"/>
        <v>0</v>
      </c>
      <c r="I153" s="122">
        <f t="shared" si="19"/>
        <v>0</v>
      </c>
      <c r="J153" s="54">
        <f t="shared" si="28"/>
        <v>0</v>
      </c>
      <c r="K153" s="54"/>
      <c r="L153" s="115"/>
      <c r="M153" s="54">
        <f t="shared" si="29"/>
        <v>0</v>
      </c>
      <c r="N153" s="115"/>
      <c r="O153" s="54">
        <f t="shared" si="30"/>
        <v>0</v>
      </c>
      <c r="P153" s="54">
        <f t="shared" si="31"/>
        <v>0</v>
      </c>
    </row>
    <row r="154" spans="2:16" ht="13.5" thickBot="1">
      <c r="B154" s="7" t="str">
        <f t="shared" si="24"/>
        <v/>
      </c>
      <c r="C154" s="58">
        <f>IF(D93="","-",+C153+1)</f>
        <v>2079</v>
      </c>
      <c r="D154" s="82">
        <f>IF(F153+SUM(E$99:E153)=D$92,F153,D$92-SUM(E$99:E153))</f>
        <v>0</v>
      </c>
      <c r="E154" s="60">
        <f t="shared" si="25"/>
        <v>0</v>
      </c>
      <c r="F154" s="59">
        <f t="shared" si="26"/>
        <v>0</v>
      </c>
      <c r="G154" s="59">
        <f t="shared" si="27"/>
        <v>0</v>
      </c>
      <c r="H154" s="123">
        <f t="shared" si="18"/>
        <v>0</v>
      </c>
      <c r="I154" s="124">
        <f t="shared" si="19"/>
        <v>0</v>
      </c>
      <c r="J154" s="62">
        <f t="shared" si="28"/>
        <v>0</v>
      </c>
      <c r="K154" s="54"/>
      <c r="L154" s="116"/>
      <c r="M154" s="62">
        <f t="shared" si="29"/>
        <v>0</v>
      </c>
      <c r="N154" s="116"/>
      <c r="O154" s="62">
        <f t="shared" si="30"/>
        <v>0</v>
      </c>
      <c r="P154" s="62">
        <f t="shared" si="31"/>
        <v>0</v>
      </c>
    </row>
    <row r="155" spans="2:16">
      <c r="C155" s="12" t="s">
        <v>77</v>
      </c>
      <c r="D155" s="14"/>
      <c r="E155" s="14">
        <f>SUM(E99:E154)</f>
        <v>2618164.61</v>
      </c>
      <c r="F155" s="14"/>
      <c r="G155" s="14"/>
      <c r="H155" s="14">
        <f>SUM(H99:H154)</f>
        <v>8570225.235084584</v>
      </c>
      <c r="I155" s="14">
        <f>SUM(I99:I154)</f>
        <v>8570225.235084584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743-FD09-4BE6-B626-307ED5239C82}">
  <dimension ref="A1:P162"/>
  <sheetViews>
    <sheetView topLeftCell="A7" zoomScaleNormal="100" zoomScaleSheetLayoutView="78" workbookViewId="0">
      <selection activeCell="N7" sqref="N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36 of 36</v>
      </c>
    </row>
    <row r="2" spans="1:16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5.75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279</v>
      </c>
      <c r="L5" s="18"/>
      <c r="M5" s="19"/>
      <c r="N5" s="523">
        <v>0</v>
      </c>
      <c r="P5" s="1"/>
    </row>
    <row r="6" spans="1:16" ht="15.75">
      <c r="C6" s="6"/>
      <c r="D6" s="2"/>
      <c r="E6" s="1"/>
      <c r="F6" s="1"/>
      <c r="G6" s="1"/>
      <c r="H6" s="21"/>
      <c r="I6" s="21"/>
      <c r="J6" s="22"/>
      <c r="K6" s="23" t="s">
        <v>280</v>
      </c>
      <c r="L6" s="24"/>
      <c r="M6" s="1"/>
      <c r="N6" s="524">
        <v>0</v>
      </c>
      <c r="O6" s="1"/>
      <c r="P6" s="1"/>
    </row>
    <row r="7" spans="1:16" ht="13.5" thickBot="1">
      <c r="C7" s="26" t="s">
        <v>46</v>
      </c>
      <c r="D7" s="88" t="str">
        <f>D89</f>
        <v>Riverside Station 138 kV Breakers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525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tr">
        <f>D91</f>
        <v>TP2019245</v>
      </c>
      <c r="E9" s="514" t="str">
        <f>E91</f>
        <v>SPP Project ID = 81500</v>
      </c>
      <c r="F9" s="32"/>
      <c r="G9" s="32"/>
      <c r="H9" s="32"/>
      <c r="I9" s="33"/>
      <c r="J9" s="34"/>
      <c r="P9" s="1"/>
    </row>
    <row r="10" spans="1:16">
      <c r="C10" s="128" t="s">
        <v>226</v>
      </c>
      <c r="D10" s="35">
        <v>0</v>
      </c>
      <c r="E10" s="1" t="s">
        <v>51</v>
      </c>
      <c r="G10" s="2"/>
      <c r="H10" s="2"/>
      <c r="I10" s="36">
        <f>+'PSO.WS.F.BPU.ATRR.Projected'!L19</f>
        <v>2025</v>
      </c>
      <c r="J10" s="34"/>
      <c r="K10" s="14" t="s">
        <v>52</v>
      </c>
      <c r="O10" s="1"/>
      <c r="P10" s="1"/>
    </row>
    <row r="11" spans="1:16">
      <c r="C11" s="37" t="s">
        <v>53</v>
      </c>
      <c r="D11" s="38">
        <v>2026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5">
        <v>6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14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0</v>
      </c>
      <c r="J14" s="14"/>
      <c r="K14" s="14"/>
      <c r="L14" s="14"/>
      <c r="M14" s="14"/>
      <c r="N14" s="14"/>
      <c r="O14" s="1"/>
      <c r="P14" s="1"/>
    </row>
    <row r="15" spans="1:16" ht="38.25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281</v>
      </c>
      <c r="H15" s="126" t="s">
        <v>282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3.5" thickBot="1">
      <c r="B17" s="7"/>
      <c r="C17" s="50">
        <f>IF(D11= "","-",D11)</f>
        <v>2026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2">
        <f>H17-G17</f>
        <v>0</v>
      </c>
      <c r="J17" s="52"/>
      <c r="K17" s="117">
        <f>+G17</f>
        <v>0</v>
      </c>
      <c r="L17" s="469">
        <f t="shared" ref="L17:L72" si="0">IF(K17&lt;&gt;0,+G17-K17,0)</f>
        <v>0</v>
      </c>
      <c r="M17" s="117">
        <f>+H17</f>
        <v>0</v>
      </c>
      <c r="N17" s="469">
        <f t="shared" ref="N17:N72" si="1">IF(M17&lt;&gt;0,+H17-M17,0)</f>
        <v>0</v>
      </c>
      <c r="O17" s="446">
        <f t="shared" ref="O17:O72" si="2">+N17-L17</f>
        <v>0</v>
      </c>
      <c r="P17" s="1"/>
    </row>
    <row r="18" spans="2:16">
      <c r="B18" s="7" t="str">
        <f>IF(D18=F17,"","IU")</f>
        <v/>
      </c>
      <c r="C18" s="50">
        <f>IF(D11="","-",+C17+1)</f>
        <v>2027</v>
      </c>
      <c r="D18" s="55">
        <f>IF(F17+SUM(E$17:E17)=D$10,F17,D$10-SUM(E$17:E17))</f>
        <v>0</v>
      </c>
      <c r="E18" s="56">
        <f t="shared" ref="E18" si="3">IF(+I$14&lt;F17,I$14,D18)</f>
        <v>0</v>
      </c>
      <c r="F18" s="55">
        <f t="shared" ref="F18" si="4">+D18-E18</f>
        <v>0</v>
      </c>
      <c r="G18" s="57">
        <f t="shared" ref="G18" si="5">(D18+F18)/2*I$12+E18</f>
        <v>0</v>
      </c>
      <c r="H18" s="42">
        <f t="shared" ref="H18" si="6">+(D18+F18)/2*I$13+E18</f>
        <v>0</v>
      </c>
      <c r="I18" s="52">
        <f t="shared" ref="I18" si="7">H18-G18</f>
        <v>0</v>
      </c>
      <c r="J18" s="52"/>
      <c r="K18" s="117">
        <f>+G18</f>
        <v>0</v>
      </c>
      <c r="L18" s="469">
        <f t="shared" si="0"/>
        <v>0</v>
      </c>
      <c r="M18" s="117">
        <f>+H18</f>
        <v>0</v>
      </c>
      <c r="N18" s="469">
        <f t="shared" si="1"/>
        <v>0</v>
      </c>
      <c r="O18" s="446">
        <f t="shared" si="2"/>
        <v>0</v>
      </c>
      <c r="P18" s="1"/>
    </row>
    <row r="19" spans="2:16">
      <c r="B19" s="7" t="str">
        <f>IF(D19=F18,"","IU")</f>
        <v/>
      </c>
      <c r="C19" s="50">
        <f>IF(D11="","-",+C18+1)</f>
        <v>2028</v>
      </c>
      <c r="D19" s="55">
        <f>IF(F18+SUM(E$17:E18)=D$10,F18,D$10-SUM(E$17:E18))</f>
        <v>0</v>
      </c>
      <c r="E19" s="56">
        <f t="shared" ref="E19:E71" si="8">IF(+I$14&lt;F18,I$14,D19)</f>
        <v>0</v>
      </c>
      <c r="F19" s="55">
        <f t="shared" ref="F19:F71" si="9">+D19-E19</f>
        <v>0</v>
      </c>
      <c r="G19" s="57">
        <f t="shared" ref="G19:G71" si="10">(D19+F19)/2*I$12+E19</f>
        <v>0</v>
      </c>
      <c r="H19" s="42">
        <f t="shared" ref="H19:H71" si="11">+(D19+F19)/2*I$13+E19</f>
        <v>0</v>
      </c>
      <c r="I19" s="52">
        <f t="shared" ref="I19:I71" si="12">H19-G19</f>
        <v>0</v>
      </c>
      <c r="J19" s="52"/>
      <c r="K19" s="115"/>
      <c r="L19" s="54">
        <f t="shared" si="0"/>
        <v>0</v>
      </c>
      <c r="M19" s="115"/>
      <c r="N19" s="54">
        <f t="shared" si="1"/>
        <v>0</v>
      </c>
      <c r="O19" s="54">
        <f t="shared" si="2"/>
        <v>0</v>
      </c>
      <c r="P19" s="1"/>
    </row>
    <row r="20" spans="2:16">
      <c r="B20" s="7" t="str">
        <f t="shared" ref="B20:B72" si="13">IF(D20=F19,"","IU")</f>
        <v/>
      </c>
      <c r="C20" s="50">
        <f>IF(D11="","-",+C19+1)</f>
        <v>2029</v>
      </c>
      <c r="D20" s="55">
        <f>IF(F19+SUM(E$17:E19)=D$10,F19,D$10-SUM(E$17:E19))</f>
        <v>0</v>
      </c>
      <c r="E20" s="56">
        <f t="shared" si="8"/>
        <v>0</v>
      </c>
      <c r="F20" s="55">
        <f t="shared" si="9"/>
        <v>0</v>
      </c>
      <c r="G20" s="57">
        <f t="shared" si="10"/>
        <v>0</v>
      </c>
      <c r="H20" s="42">
        <f t="shared" si="11"/>
        <v>0</v>
      </c>
      <c r="I20" s="52">
        <f t="shared" si="12"/>
        <v>0</v>
      </c>
      <c r="J20" s="52"/>
      <c r="K20" s="115"/>
      <c r="L20" s="54">
        <f t="shared" si="0"/>
        <v>0</v>
      </c>
      <c r="M20" s="115"/>
      <c r="N20" s="54">
        <f t="shared" si="1"/>
        <v>0</v>
      </c>
      <c r="O20" s="54">
        <f t="shared" si="2"/>
        <v>0</v>
      </c>
      <c r="P20" s="1"/>
    </row>
    <row r="21" spans="2:16">
      <c r="B21" s="7" t="str">
        <f t="shared" si="13"/>
        <v/>
      </c>
      <c r="C21" s="50">
        <f>IF(D11="","-",+C20+1)</f>
        <v>2030</v>
      </c>
      <c r="D21" s="55">
        <f>IF(F20+SUM(E$17:E20)=D$10,F20,D$10-SUM(E$17:E20))</f>
        <v>0</v>
      </c>
      <c r="E21" s="56">
        <f t="shared" si="8"/>
        <v>0</v>
      </c>
      <c r="F21" s="55">
        <f t="shared" si="9"/>
        <v>0</v>
      </c>
      <c r="G21" s="57">
        <f t="shared" si="10"/>
        <v>0</v>
      </c>
      <c r="H21" s="42">
        <f t="shared" si="11"/>
        <v>0</v>
      </c>
      <c r="I21" s="52">
        <f t="shared" si="12"/>
        <v>0</v>
      </c>
      <c r="J21" s="52"/>
      <c r="K21" s="115"/>
      <c r="L21" s="54">
        <f t="shared" si="0"/>
        <v>0</v>
      </c>
      <c r="M21" s="115"/>
      <c r="N21" s="54">
        <f t="shared" si="1"/>
        <v>0</v>
      </c>
      <c r="O21" s="54">
        <f t="shared" si="2"/>
        <v>0</v>
      </c>
      <c r="P21" s="1"/>
    </row>
    <row r="22" spans="2:16">
      <c r="B22" s="7" t="str">
        <f t="shared" si="13"/>
        <v/>
      </c>
      <c r="C22" s="50">
        <f>IF(D11="","-",+C21+1)</f>
        <v>2031</v>
      </c>
      <c r="D22" s="55">
        <f>IF(F21+SUM(E$17:E21)=D$10,F21,D$10-SUM(E$17:E21))</f>
        <v>0</v>
      </c>
      <c r="E22" s="56">
        <f t="shared" si="8"/>
        <v>0</v>
      </c>
      <c r="F22" s="55">
        <f t="shared" si="9"/>
        <v>0</v>
      </c>
      <c r="G22" s="57">
        <f t="shared" si="10"/>
        <v>0</v>
      </c>
      <c r="H22" s="42">
        <f t="shared" si="11"/>
        <v>0</v>
      </c>
      <c r="I22" s="52">
        <f t="shared" si="12"/>
        <v>0</v>
      </c>
      <c r="J22" s="52"/>
      <c r="K22" s="115"/>
      <c r="L22" s="54">
        <f t="shared" si="0"/>
        <v>0</v>
      </c>
      <c r="M22" s="115"/>
      <c r="N22" s="54">
        <f t="shared" si="1"/>
        <v>0</v>
      </c>
      <c r="O22" s="54">
        <f t="shared" si="2"/>
        <v>0</v>
      </c>
      <c r="P22" s="1"/>
    </row>
    <row r="23" spans="2:16">
      <c r="B23" s="7" t="str">
        <f t="shared" si="13"/>
        <v/>
      </c>
      <c r="C23" s="50">
        <f>IF(D11="","-",+C22+1)</f>
        <v>2032</v>
      </c>
      <c r="D23" s="55">
        <f>IF(F22+SUM(E$17:E22)=D$10,F22,D$10-SUM(E$17:E22))</f>
        <v>0</v>
      </c>
      <c r="E23" s="56">
        <f t="shared" si="8"/>
        <v>0</v>
      </c>
      <c r="F23" s="55">
        <f t="shared" si="9"/>
        <v>0</v>
      </c>
      <c r="G23" s="57">
        <f t="shared" si="10"/>
        <v>0</v>
      </c>
      <c r="H23" s="42">
        <f t="shared" si="11"/>
        <v>0</v>
      </c>
      <c r="I23" s="52">
        <f t="shared" si="12"/>
        <v>0</v>
      </c>
      <c r="J23" s="52"/>
      <c r="K23" s="115"/>
      <c r="L23" s="54">
        <f t="shared" si="0"/>
        <v>0</v>
      </c>
      <c r="M23" s="115"/>
      <c r="N23" s="54">
        <f t="shared" si="1"/>
        <v>0</v>
      </c>
      <c r="O23" s="54">
        <f t="shared" si="2"/>
        <v>0</v>
      </c>
      <c r="P23" s="1"/>
    </row>
    <row r="24" spans="2:16">
      <c r="B24" s="7" t="str">
        <f t="shared" si="13"/>
        <v/>
      </c>
      <c r="C24" s="50">
        <f>IF(D11="","-",+C23+1)</f>
        <v>2033</v>
      </c>
      <c r="D24" s="55">
        <f>IF(F23+SUM(E$17:E23)=D$10,F23,D$10-SUM(E$17:E23))</f>
        <v>0</v>
      </c>
      <c r="E24" s="56">
        <f t="shared" si="8"/>
        <v>0</v>
      </c>
      <c r="F24" s="55">
        <f t="shared" si="9"/>
        <v>0</v>
      </c>
      <c r="G24" s="57">
        <f t="shared" si="10"/>
        <v>0</v>
      </c>
      <c r="H24" s="42">
        <f t="shared" si="11"/>
        <v>0</v>
      </c>
      <c r="I24" s="52">
        <f t="shared" si="12"/>
        <v>0</v>
      </c>
      <c r="J24" s="52"/>
      <c r="K24" s="115"/>
      <c r="L24" s="54">
        <f t="shared" si="0"/>
        <v>0</v>
      </c>
      <c r="M24" s="115"/>
      <c r="N24" s="54">
        <f t="shared" si="1"/>
        <v>0</v>
      </c>
      <c r="O24" s="54">
        <f t="shared" si="2"/>
        <v>0</v>
      </c>
      <c r="P24" s="1"/>
    </row>
    <row r="25" spans="2:16">
      <c r="B25" s="7" t="str">
        <f t="shared" si="13"/>
        <v/>
      </c>
      <c r="C25" s="50">
        <f>IF(D11="","-",+C24+1)</f>
        <v>2034</v>
      </c>
      <c r="D25" s="55">
        <f>IF(F24+SUM(E$17:E24)=D$10,F24,D$10-SUM(E$17:E24))</f>
        <v>0</v>
      </c>
      <c r="E25" s="56">
        <f t="shared" si="8"/>
        <v>0</v>
      </c>
      <c r="F25" s="55">
        <f t="shared" si="9"/>
        <v>0</v>
      </c>
      <c r="G25" s="57">
        <f t="shared" si="10"/>
        <v>0</v>
      </c>
      <c r="H25" s="42">
        <f t="shared" si="11"/>
        <v>0</v>
      </c>
      <c r="I25" s="52">
        <f t="shared" si="12"/>
        <v>0</v>
      </c>
      <c r="J25" s="52"/>
      <c r="K25" s="115"/>
      <c r="L25" s="54">
        <f t="shared" si="0"/>
        <v>0</v>
      </c>
      <c r="M25" s="115"/>
      <c r="N25" s="54">
        <f t="shared" si="1"/>
        <v>0</v>
      </c>
      <c r="O25" s="54">
        <f t="shared" si="2"/>
        <v>0</v>
      </c>
      <c r="P25" s="1"/>
    </row>
    <row r="26" spans="2:16">
      <c r="B26" s="7" t="str">
        <f t="shared" si="13"/>
        <v/>
      </c>
      <c r="C26" s="50">
        <f>IF(D11="","-",+C25+1)</f>
        <v>2035</v>
      </c>
      <c r="D26" s="55">
        <f>IF(F25+SUM(E$17:E25)=D$10,F25,D$10-SUM(E$17:E25))</f>
        <v>0</v>
      </c>
      <c r="E26" s="56">
        <f t="shared" si="8"/>
        <v>0</v>
      </c>
      <c r="F26" s="55">
        <f t="shared" si="9"/>
        <v>0</v>
      </c>
      <c r="G26" s="57">
        <f t="shared" si="10"/>
        <v>0</v>
      </c>
      <c r="H26" s="42">
        <f t="shared" si="11"/>
        <v>0</v>
      </c>
      <c r="I26" s="52">
        <f t="shared" si="12"/>
        <v>0</v>
      </c>
      <c r="J26" s="52"/>
      <c r="K26" s="115"/>
      <c r="L26" s="54">
        <f t="shared" si="0"/>
        <v>0</v>
      </c>
      <c r="M26" s="115"/>
      <c r="N26" s="54">
        <f t="shared" si="1"/>
        <v>0</v>
      </c>
      <c r="O26" s="54">
        <f t="shared" si="2"/>
        <v>0</v>
      </c>
      <c r="P26" s="1"/>
    </row>
    <row r="27" spans="2:16">
      <c r="B27" s="7" t="str">
        <f t="shared" si="13"/>
        <v/>
      </c>
      <c r="C27" s="50">
        <f>IF(D11="","-",+C26+1)</f>
        <v>2036</v>
      </c>
      <c r="D27" s="55">
        <f>IF(F26+SUM(E$17:E26)=D$10,F26,D$10-SUM(E$17:E26))</f>
        <v>0</v>
      </c>
      <c r="E27" s="56">
        <f t="shared" si="8"/>
        <v>0</v>
      </c>
      <c r="F27" s="55">
        <f t="shared" si="9"/>
        <v>0</v>
      </c>
      <c r="G27" s="57">
        <f t="shared" si="10"/>
        <v>0</v>
      </c>
      <c r="H27" s="42">
        <f t="shared" si="11"/>
        <v>0</v>
      </c>
      <c r="I27" s="52">
        <f t="shared" si="12"/>
        <v>0</v>
      </c>
      <c r="J27" s="52"/>
      <c r="K27" s="115"/>
      <c r="L27" s="54">
        <f t="shared" si="0"/>
        <v>0</v>
      </c>
      <c r="M27" s="115"/>
      <c r="N27" s="54">
        <f t="shared" si="1"/>
        <v>0</v>
      </c>
      <c r="O27" s="54">
        <f t="shared" si="2"/>
        <v>0</v>
      </c>
      <c r="P27" s="1"/>
    </row>
    <row r="28" spans="2:16">
      <c r="B28" s="7" t="str">
        <f t="shared" si="13"/>
        <v/>
      </c>
      <c r="C28" s="50">
        <f>IF(D11="","-",+C27+1)</f>
        <v>2037</v>
      </c>
      <c r="D28" s="55">
        <f>IF(F27+SUM(E$17:E27)=D$10,F27,D$10-SUM(E$17:E27))</f>
        <v>0</v>
      </c>
      <c r="E28" s="56">
        <f t="shared" si="8"/>
        <v>0</v>
      </c>
      <c r="F28" s="55">
        <f t="shared" si="9"/>
        <v>0</v>
      </c>
      <c r="G28" s="57">
        <f t="shared" si="10"/>
        <v>0</v>
      </c>
      <c r="H28" s="42">
        <f t="shared" si="11"/>
        <v>0</v>
      </c>
      <c r="I28" s="52">
        <f t="shared" si="12"/>
        <v>0</v>
      </c>
      <c r="J28" s="52"/>
      <c r="K28" s="115"/>
      <c r="L28" s="54">
        <f t="shared" si="0"/>
        <v>0</v>
      </c>
      <c r="M28" s="115"/>
      <c r="N28" s="54">
        <f t="shared" si="1"/>
        <v>0</v>
      </c>
      <c r="O28" s="54">
        <f t="shared" si="2"/>
        <v>0</v>
      </c>
      <c r="P28" s="1"/>
    </row>
    <row r="29" spans="2:16">
      <c r="B29" s="7" t="str">
        <f t="shared" si="13"/>
        <v/>
      </c>
      <c r="C29" s="50">
        <f>IF(D11="","-",+C28+1)</f>
        <v>2038</v>
      </c>
      <c r="D29" s="55">
        <f>IF(F28+SUM(E$17:E28)=D$10,F28,D$10-SUM(E$17:E28))</f>
        <v>0</v>
      </c>
      <c r="E29" s="56">
        <f t="shared" si="8"/>
        <v>0</v>
      </c>
      <c r="F29" s="55">
        <f t="shared" si="9"/>
        <v>0</v>
      </c>
      <c r="G29" s="57">
        <f t="shared" si="10"/>
        <v>0</v>
      </c>
      <c r="H29" s="42">
        <f t="shared" si="11"/>
        <v>0</v>
      </c>
      <c r="I29" s="52">
        <f t="shared" si="12"/>
        <v>0</v>
      </c>
      <c r="J29" s="52"/>
      <c r="K29" s="115"/>
      <c r="L29" s="54">
        <f t="shared" si="0"/>
        <v>0</v>
      </c>
      <c r="M29" s="115"/>
      <c r="N29" s="54">
        <f t="shared" si="1"/>
        <v>0</v>
      </c>
      <c r="O29" s="54">
        <f t="shared" si="2"/>
        <v>0</v>
      </c>
      <c r="P29" s="1"/>
    </row>
    <row r="30" spans="2:16">
      <c r="B30" s="7" t="str">
        <f t="shared" si="13"/>
        <v/>
      </c>
      <c r="C30" s="50">
        <f>IF(D11="","-",+C29+1)</f>
        <v>2039</v>
      </c>
      <c r="D30" s="55">
        <f>IF(F29+SUM(E$17:E29)=D$10,F29,D$10-SUM(E$17:E29))</f>
        <v>0</v>
      </c>
      <c r="E30" s="56">
        <f t="shared" si="8"/>
        <v>0</v>
      </c>
      <c r="F30" s="55">
        <f t="shared" si="9"/>
        <v>0</v>
      </c>
      <c r="G30" s="57">
        <f t="shared" si="10"/>
        <v>0</v>
      </c>
      <c r="H30" s="42">
        <f t="shared" si="11"/>
        <v>0</v>
      </c>
      <c r="I30" s="52">
        <f t="shared" si="12"/>
        <v>0</v>
      </c>
      <c r="J30" s="52"/>
      <c r="K30" s="115"/>
      <c r="L30" s="54">
        <f t="shared" si="0"/>
        <v>0</v>
      </c>
      <c r="M30" s="115"/>
      <c r="N30" s="54">
        <f t="shared" si="1"/>
        <v>0</v>
      </c>
      <c r="O30" s="54">
        <f t="shared" si="2"/>
        <v>0</v>
      </c>
      <c r="P30" s="1"/>
    </row>
    <row r="31" spans="2:16">
      <c r="B31" s="7" t="str">
        <f t="shared" si="13"/>
        <v/>
      </c>
      <c r="C31" s="50">
        <f>IF(D11="","-",+C30+1)</f>
        <v>2040</v>
      </c>
      <c r="D31" s="55">
        <f>IF(F30+SUM(E$17:E30)=D$10,F30,D$10-SUM(E$17:E30))</f>
        <v>0</v>
      </c>
      <c r="E31" s="56">
        <f t="shared" si="8"/>
        <v>0</v>
      </c>
      <c r="F31" s="55">
        <f t="shared" si="9"/>
        <v>0</v>
      </c>
      <c r="G31" s="57">
        <f t="shared" si="10"/>
        <v>0</v>
      </c>
      <c r="H31" s="42">
        <f t="shared" si="11"/>
        <v>0</v>
      </c>
      <c r="I31" s="52">
        <f t="shared" si="12"/>
        <v>0</v>
      </c>
      <c r="J31" s="52"/>
      <c r="K31" s="115"/>
      <c r="L31" s="54">
        <f t="shared" si="0"/>
        <v>0</v>
      </c>
      <c r="M31" s="115"/>
      <c r="N31" s="54">
        <f t="shared" si="1"/>
        <v>0</v>
      </c>
      <c r="O31" s="54">
        <f t="shared" si="2"/>
        <v>0</v>
      </c>
      <c r="P31" s="1"/>
    </row>
    <row r="32" spans="2:16">
      <c r="B32" s="7" t="str">
        <f t="shared" si="13"/>
        <v/>
      </c>
      <c r="C32" s="50">
        <f>IF(D11="","-",+C31+1)</f>
        <v>2041</v>
      </c>
      <c r="D32" s="55">
        <f>IF(F31+SUM(E$17:E31)=D$10,F31,D$10-SUM(E$17:E31))</f>
        <v>0</v>
      </c>
      <c r="E32" s="56">
        <f t="shared" si="8"/>
        <v>0</v>
      </c>
      <c r="F32" s="55">
        <f t="shared" si="9"/>
        <v>0</v>
      </c>
      <c r="G32" s="57">
        <f t="shared" si="10"/>
        <v>0</v>
      </c>
      <c r="H32" s="42">
        <f t="shared" si="11"/>
        <v>0</v>
      </c>
      <c r="I32" s="52">
        <f t="shared" si="12"/>
        <v>0</v>
      </c>
      <c r="J32" s="52"/>
      <c r="K32" s="115"/>
      <c r="L32" s="54">
        <f t="shared" si="0"/>
        <v>0</v>
      </c>
      <c r="M32" s="115"/>
      <c r="N32" s="54">
        <f t="shared" si="1"/>
        <v>0</v>
      </c>
      <c r="O32" s="54">
        <f t="shared" si="2"/>
        <v>0</v>
      </c>
      <c r="P32" s="1"/>
    </row>
    <row r="33" spans="2:16">
      <c r="B33" s="7" t="str">
        <f t="shared" si="13"/>
        <v/>
      </c>
      <c r="C33" s="50">
        <f>IF(D11="","-",+C32+1)</f>
        <v>2042</v>
      </c>
      <c r="D33" s="55">
        <f>IF(F32+SUM(E$17:E32)=D$10,F32,D$10-SUM(E$17:E32))</f>
        <v>0</v>
      </c>
      <c r="E33" s="56">
        <f t="shared" si="8"/>
        <v>0</v>
      </c>
      <c r="F33" s="55">
        <f t="shared" si="9"/>
        <v>0</v>
      </c>
      <c r="G33" s="57">
        <f t="shared" si="10"/>
        <v>0</v>
      </c>
      <c r="H33" s="42">
        <f t="shared" si="11"/>
        <v>0</v>
      </c>
      <c r="I33" s="52">
        <f t="shared" si="12"/>
        <v>0</v>
      </c>
      <c r="J33" s="52"/>
      <c r="K33" s="115"/>
      <c r="L33" s="54">
        <f t="shared" si="0"/>
        <v>0</v>
      </c>
      <c r="M33" s="115"/>
      <c r="N33" s="54">
        <f t="shared" si="1"/>
        <v>0</v>
      </c>
      <c r="O33" s="54">
        <f t="shared" si="2"/>
        <v>0</v>
      </c>
      <c r="P33" s="1"/>
    </row>
    <row r="34" spans="2:16">
      <c r="B34" s="7" t="str">
        <f t="shared" si="13"/>
        <v/>
      </c>
      <c r="C34" s="50">
        <f>IF(D11="","-",+C33+1)</f>
        <v>2043</v>
      </c>
      <c r="D34" s="55">
        <f>IF(F33+SUM(E$17:E33)=D$10,F33,D$10-SUM(E$17:E33))</f>
        <v>0</v>
      </c>
      <c r="E34" s="56">
        <f t="shared" si="8"/>
        <v>0</v>
      </c>
      <c r="F34" s="55">
        <f t="shared" si="9"/>
        <v>0</v>
      </c>
      <c r="G34" s="57">
        <f t="shared" si="10"/>
        <v>0</v>
      </c>
      <c r="H34" s="42">
        <f t="shared" si="11"/>
        <v>0</v>
      </c>
      <c r="I34" s="52">
        <f t="shared" si="12"/>
        <v>0</v>
      </c>
      <c r="J34" s="52"/>
      <c r="K34" s="115"/>
      <c r="L34" s="54">
        <f t="shared" si="0"/>
        <v>0</v>
      </c>
      <c r="M34" s="115"/>
      <c r="N34" s="54">
        <f t="shared" si="1"/>
        <v>0</v>
      </c>
      <c r="O34" s="54">
        <f t="shared" si="2"/>
        <v>0</v>
      </c>
      <c r="P34" s="1"/>
    </row>
    <row r="35" spans="2:16">
      <c r="B35" s="7" t="str">
        <f t="shared" si="13"/>
        <v/>
      </c>
      <c r="C35" s="50">
        <f>IF(D11="","-",+C34+1)</f>
        <v>2044</v>
      </c>
      <c r="D35" s="55">
        <f>IF(F34+SUM(E$17:E34)=D$10,F34,D$10-SUM(E$17:E34))</f>
        <v>0</v>
      </c>
      <c r="E35" s="56">
        <f t="shared" si="8"/>
        <v>0</v>
      </c>
      <c r="F35" s="55">
        <f t="shared" si="9"/>
        <v>0</v>
      </c>
      <c r="G35" s="57">
        <f t="shared" si="10"/>
        <v>0</v>
      </c>
      <c r="H35" s="42">
        <f t="shared" si="11"/>
        <v>0</v>
      </c>
      <c r="I35" s="52">
        <f t="shared" si="12"/>
        <v>0</v>
      </c>
      <c r="J35" s="52"/>
      <c r="K35" s="115"/>
      <c r="L35" s="54">
        <f t="shared" si="0"/>
        <v>0</v>
      </c>
      <c r="M35" s="115"/>
      <c r="N35" s="54">
        <f t="shared" si="1"/>
        <v>0</v>
      </c>
      <c r="O35" s="54">
        <f t="shared" si="2"/>
        <v>0</v>
      </c>
      <c r="P35" s="1"/>
    </row>
    <row r="36" spans="2:16">
      <c r="B36" s="7" t="str">
        <f t="shared" si="13"/>
        <v/>
      </c>
      <c r="C36" s="50">
        <f>IF(D11="","-",+C35+1)</f>
        <v>2045</v>
      </c>
      <c r="D36" s="55">
        <f>IF(F35+SUM(E$17:E35)=D$10,F35,D$10-SUM(E$17:E35))</f>
        <v>0</v>
      </c>
      <c r="E36" s="56">
        <f t="shared" si="8"/>
        <v>0</v>
      </c>
      <c r="F36" s="55">
        <f t="shared" si="9"/>
        <v>0</v>
      </c>
      <c r="G36" s="57">
        <f t="shared" si="10"/>
        <v>0</v>
      </c>
      <c r="H36" s="42">
        <f t="shared" si="11"/>
        <v>0</v>
      </c>
      <c r="I36" s="52">
        <f t="shared" si="12"/>
        <v>0</v>
      </c>
      <c r="J36" s="52"/>
      <c r="K36" s="115"/>
      <c r="L36" s="54">
        <f t="shared" si="0"/>
        <v>0</v>
      </c>
      <c r="M36" s="115"/>
      <c r="N36" s="54">
        <f t="shared" si="1"/>
        <v>0</v>
      </c>
      <c r="O36" s="54">
        <f t="shared" si="2"/>
        <v>0</v>
      </c>
      <c r="P36" s="1"/>
    </row>
    <row r="37" spans="2:16">
      <c r="B37" s="7" t="str">
        <f t="shared" si="13"/>
        <v/>
      </c>
      <c r="C37" s="50">
        <f>IF(D11="","-",+C36+1)</f>
        <v>2046</v>
      </c>
      <c r="D37" s="55">
        <f>IF(F36+SUM(E$17:E36)=D$10,F36,D$10-SUM(E$17:E36))</f>
        <v>0</v>
      </c>
      <c r="E37" s="56">
        <f t="shared" si="8"/>
        <v>0</v>
      </c>
      <c r="F37" s="55">
        <f t="shared" si="9"/>
        <v>0</v>
      </c>
      <c r="G37" s="57">
        <f t="shared" si="10"/>
        <v>0</v>
      </c>
      <c r="H37" s="42">
        <f t="shared" si="11"/>
        <v>0</v>
      </c>
      <c r="I37" s="52">
        <f t="shared" si="12"/>
        <v>0</v>
      </c>
      <c r="J37" s="52"/>
      <c r="K37" s="115"/>
      <c r="L37" s="54">
        <f t="shared" si="0"/>
        <v>0</v>
      </c>
      <c r="M37" s="115"/>
      <c r="N37" s="54">
        <f t="shared" si="1"/>
        <v>0</v>
      </c>
      <c r="O37" s="54">
        <f t="shared" si="2"/>
        <v>0</v>
      </c>
      <c r="P37" s="1"/>
    </row>
    <row r="38" spans="2:16">
      <c r="B38" s="7" t="str">
        <f t="shared" si="13"/>
        <v/>
      </c>
      <c r="C38" s="50">
        <f>IF(D11="","-",+C37+1)</f>
        <v>2047</v>
      </c>
      <c r="D38" s="55">
        <f>IF(F37+SUM(E$17:E37)=D$10,F37,D$10-SUM(E$17:E37))</f>
        <v>0</v>
      </c>
      <c r="E38" s="56">
        <f t="shared" si="8"/>
        <v>0</v>
      </c>
      <c r="F38" s="55">
        <f t="shared" si="9"/>
        <v>0</v>
      </c>
      <c r="G38" s="57">
        <f t="shared" si="10"/>
        <v>0</v>
      </c>
      <c r="H38" s="42">
        <f t="shared" si="11"/>
        <v>0</v>
      </c>
      <c r="I38" s="52">
        <f t="shared" si="12"/>
        <v>0</v>
      </c>
      <c r="J38" s="52"/>
      <c r="K38" s="115"/>
      <c r="L38" s="54">
        <f t="shared" si="0"/>
        <v>0</v>
      </c>
      <c r="M38" s="115"/>
      <c r="N38" s="54">
        <f t="shared" si="1"/>
        <v>0</v>
      </c>
      <c r="O38" s="54">
        <f t="shared" si="2"/>
        <v>0</v>
      </c>
      <c r="P38" s="1"/>
    </row>
    <row r="39" spans="2:16">
      <c r="B39" s="7" t="str">
        <f t="shared" si="13"/>
        <v/>
      </c>
      <c r="C39" s="50">
        <f>IF(D11="","-",+C38+1)</f>
        <v>2048</v>
      </c>
      <c r="D39" s="55">
        <f>IF(F38+SUM(E$17:E38)=D$10,F38,D$10-SUM(E$17:E38))</f>
        <v>0</v>
      </c>
      <c r="E39" s="56">
        <f t="shared" si="8"/>
        <v>0</v>
      </c>
      <c r="F39" s="55">
        <f t="shared" si="9"/>
        <v>0</v>
      </c>
      <c r="G39" s="57">
        <f t="shared" si="10"/>
        <v>0</v>
      </c>
      <c r="H39" s="42">
        <f t="shared" si="11"/>
        <v>0</v>
      </c>
      <c r="I39" s="52">
        <f t="shared" si="12"/>
        <v>0</v>
      </c>
      <c r="J39" s="52"/>
      <c r="K39" s="115"/>
      <c r="L39" s="54">
        <f t="shared" si="0"/>
        <v>0</v>
      </c>
      <c r="M39" s="115"/>
      <c r="N39" s="54">
        <f t="shared" si="1"/>
        <v>0</v>
      </c>
      <c r="O39" s="54">
        <f t="shared" si="2"/>
        <v>0</v>
      </c>
      <c r="P39" s="1"/>
    </row>
    <row r="40" spans="2:16">
      <c r="B40" s="7" t="str">
        <f t="shared" si="13"/>
        <v/>
      </c>
      <c r="C40" s="50">
        <f>IF(D11="","-",+C39+1)</f>
        <v>2049</v>
      </c>
      <c r="D40" s="55">
        <f>IF(F39+SUM(E$17:E39)=D$10,F39,D$10-SUM(E$17:E39))</f>
        <v>0</v>
      </c>
      <c r="E40" s="56">
        <f t="shared" si="8"/>
        <v>0</v>
      </c>
      <c r="F40" s="55">
        <f t="shared" si="9"/>
        <v>0</v>
      </c>
      <c r="G40" s="57">
        <f t="shared" si="10"/>
        <v>0</v>
      </c>
      <c r="H40" s="42">
        <f t="shared" si="11"/>
        <v>0</v>
      </c>
      <c r="I40" s="52">
        <f t="shared" si="12"/>
        <v>0</v>
      </c>
      <c r="J40" s="52"/>
      <c r="K40" s="115"/>
      <c r="L40" s="54">
        <f t="shared" si="0"/>
        <v>0</v>
      </c>
      <c r="M40" s="115"/>
      <c r="N40" s="54">
        <f t="shared" si="1"/>
        <v>0</v>
      </c>
      <c r="O40" s="54">
        <f t="shared" si="2"/>
        <v>0</v>
      </c>
      <c r="P40" s="1"/>
    </row>
    <row r="41" spans="2:16">
      <c r="B41" s="7" t="str">
        <f t="shared" si="13"/>
        <v/>
      </c>
      <c r="C41" s="50">
        <f>IF(D11="","-",+C40+1)</f>
        <v>2050</v>
      </c>
      <c r="D41" s="55">
        <f>IF(F40+SUM(E$17:E40)=D$10,F40,D$10-SUM(E$17:E40))</f>
        <v>0</v>
      </c>
      <c r="E41" s="56">
        <f t="shared" si="8"/>
        <v>0</v>
      </c>
      <c r="F41" s="55">
        <f t="shared" si="9"/>
        <v>0</v>
      </c>
      <c r="G41" s="57">
        <f t="shared" si="10"/>
        <v>0</v>
      </c>
      <c r="H41" s="42">
        <f t="shared" si="11"/>
        <v>0</v>
      </c>
      <c r="I41" s="52">
        <f t="shared" si="12"/>
        <v>0</v>
      </c>
      <c r="J41" s="52"/>
      <c r="K41" s="115"/>
      <c r="L41" s="54">
        <f t="shared" si="0"/>
        <v>0</v>
      </c>
      <c r="M41" s="115"/>
      <c r="N41" s="54">
        <f t="shared" si="1"/>
        <v>0</v>
      </c>
      <c r="O41" s="54">
        <f t="shared" si="2"/>
        <v>0</v>
      </c>
      <c r="P41" s="1"/>
    </row>
    <row r="42" spans="2:16">
      <c r="B42" s="7" t="str">
        <f t="shared" si="13"/>
        <v/>
      </c>
      <c r="C42" s="50">
        <f>IF(D11="","-",+C41+1)</f>
        <v>2051</v>
      </c>
      <c r="D42" s="55">
        <f>IF(F41+SUM(E$17:E41)=D$10,F41,D$10-SUM(E$17:E41))</f>
        <v>0</v>
      </c>
      <c r="E42" s="56">
        <f t="shared" si="8"/>
        <v>0</v>
      </c>
      <c r="F42" s="55">
        <f t="shared" si="9"/>
        <v>0</v>
      </c>
      <c r="G42" s="57">
        <f t="shared" si="10"/>
        <v>0</v>
      </c>
      <c r="H42" s="42">
        <f t="shared" si="11"/>
        <v>0</v>
      </c>
      <c r="I42" s="52">
        <f t="shared" si="12"/>
        <v>0</v>
      </c>
      <c r="J42" s="52"/>
      <c r="K42" s="115"/>
      <c r="L42" s="54">
        <f t="shared" si="0"/>
        <v>0</v>
      </c>
      <c r="M42" s="115"/>
      <c r="N42" s="54">
        <f t="shared" si="1"/>
        <v>0</v>
      </c>
      <c r="O42" s="54">
        <f t="shared" si="2"/>
        <v>0</v>
      </c>
      <c r="P42" s="1"/>
    </row>
    <row r="43" spans="2:16">
      <c r="B43" s="7" t="str">
        <f t="shared" si="13"/>
        <v/>
      </c>
      <c r="C43" s="50">
        <f>IF(D11="","-",+C42+1)</f>
        <v>2052</v>
      </c>
      <c r="D43" s="55">
        <f>IF(F42+SUM(E$17:E42)=D$10,F42,D$10-SUM(E$17:E42))</f>
        <v>0</v>
      </c>
      <c r="E43" s="56">
        <f t="shared" si="8"/>
        <v>0</v>
      </c>
      <c r="F43" s="55">
        <f t="shared" si="9"/>
        <v>0</v>
      </c>
      <c r="G43" s="57">
        <f t="shared" si="10"/>
        <v>0</v>
      </c>
      <c r="H43" s="42">
        <f t="shared" si="11"/>
        <v>0</v>
      </c>
      <c r="I43" s="52">
        <f t="shared" si="12"/>
        <v>0</v>
      </c>
      <c r="J43" s="52"/>
      <c r="K43" s="115"/>
      <c r="L43" s="54">
        <f t="shared" si="0"/>
        <v>0</v>
      </c>
      <c r="M43" s="115"/>
      <c r="N43" s="54">
        <f t="shared" si="1"/>
        <v>0</v>
      </c>
      <c r="O43" s="54">
        <f t="shared" si="2"/>
        <v>0</v>
      </c>
      <c r="P43" s="1"/>
    </row>
    <row r="44" spans="2:16">
      <c r="B44" s="7" t="str">
        <f t="shared" si="13"/>
        <v/>
      </c>
      <c r="C44" s="50">
        <f>IF(D11="","-",+C43+1)</f>
        <v>2053</v>
      </c>
      <c r="D44" s="55">
        <f>IF(F43+SUM(E$17:E43)=D$10,F43,D$10-SUM(E$17:E43))</f>
        <v>0</v>
      </c>
      <c r="E44" s="56">
        <f t="shared" si="8"/>
        <v>0</v>
      </c>
      <c r="F44" s="55">
        <f t="shared" si="9"/>
        <v>0</v>
      </c>
      <c r="G44" s="57">
        <f t="shared" si="10"/>
        <v>0</v>
      </c>
      <c r="H44" s="42">
        <f t="shared" si="11"/>
        <v>0</v>
      </c>
      <c r="I44" s="52">
        <f t="shared" si="12"/>
        <v>0</v>
      </c>
      <c r="J44" s="52"/>
      <c r="K44" s="115"/>
      <c r="L44" s="54">
        <f t="shared" si="0"/>
        <v>0</v>
      </c>
      <c r="M44" s="115"/>
      <c r="N44" s="54">
        <f t="shared" si="1"/>
        <v>0</v>
      </c>
      <c r="O44" s="54">
        <f t="shared" si="2"/>
        <v>0</v>
      </c>
      <c r="P44" s="1"/>
    </row>
    <row r="45" spans="2:16">
      <c r="B45" s="7" t="str">
        <f t="shared" si="13"/>
        <v/>
      </c>
      <c r="C45" s="50">
        <f>IF(D11="","-",+C44+1)</f>
        <v>2054</v>
      </c>
      <c r="D45" s="55">
        <f>IF(F44+SUM(E$17:E44)=D$10,F44,D$10-SUM(E$17:E44))</f>
        <v>0</v>
      </c>
      <c r="E45" s="56">
        <f t="shared" si="8"/>
        <v>0</v>
      </c>
      <c r="F45" s="55">
        <f t="shared" si="9"/>
        <v>0</v>
      </c>
      <c r="G45" s="57">
        <f t="shared" si="10"/>
        <v>0</v>
      </c>
      <c r="H45" s="42">
        <f t="shared" si="11"/>
        <v>0</v>
      </c>
      <c r="I45" s="52">
        <f t="shared" si="12"/>
        <v>0</v>
      </c>
      <c r="J45" s="52"/>
      <c r="K45" s="115"/>
      <c r="L45" s="54">
        <f t="shared" si="0"/>
        <v>0</v>
      </c>
      <c r="M45" s="115"/>
      <c r="N45" s="54">
        <f t="shared" si="1"/>
        <v>0</v>
      </c>
      <c r="O45" s="54">
        <f t="shared" si="2"/>
        <v>0</v>
      </c>
      <c r="P45" s="1"/>
    </row>
    <row r="46" spans="2:16">
      <c r="B46" s="7" t="str">
        <f t="shared" si="13"/>
        <v/>
      </c>
      <c r="C46" s="50">
        <f>IF(D11="","-",+C45+1)</f>
        <v>2055</v>
      </c>
      <c r="D46" s="55">
        <f>IF(F45+SUM(E$17:E45)=D$10,F45,D$10-SUM(E$17:E45))</f>
        <v>0</v>
      </c>
      <c r="E46" s="56">
        <f t="shared" si="8"/>
        <v>0</v>
      </c>
      <c r="F46" s="55">
        <f t="shared" si="9"/>
        <v>0</v>
      </c>
      <c r="G46" s="57">
        <f t="shared" si="10"/>
        <v>0</v>
      </c>
      <c r="H46" s="42">
        <f t="shared" si="11"/>
        <v>0</v>
      </c>
      <c r="I46" s="52">
        <f t="shared" si="12"/>
        <v>0</v>
      </c>
      <c r="J46" s="52"/>
      <c r="K46" s="115"/>
      <c r="L46" s="54">
        <f t="shared" si="0"/>
        <v>0</v>
      </c>
      <c r="M46" s="115"/>
      <c r="N46" s="54">
        <f t="shared" si="1"/>
        <v>0</v>
      </c>
      <c r="O46" s="54">
        <f t="shared" si="2"/>
        <v>0</v>
      </c>
      <c r="P46" s="1"/>
    </row>
    <row r="47" spans="2:16">
      <c r="B47" s="7" t="str">
        <f t="shared" si="13"/>
        <v/>
      </c>
      <c r="C47" s="50">
        <f>IF(D11="","-",+C46+1)</f>
        <v>2056</v>
      </c>
      <c r="D47" s="55">
        <f>IF(F46+SUM(E$17:E46)=D$10,F46,D$10-SUM(E$17:E46))</f>
        <v>0</v>
      </c>
      <c r="E47" s="56">
        <f t="shared" si="8"/>
        <v>0</v>
      </c>
      <c r="F47" s="55">
        <f t="shared" si="9"/>
        <v>0</v>
      </c>
      <c r="G47" s="57">
        <f t="shared" si="10"/>
        <v>0</v>
      </c>
      <c r="H47" s="42">
        <f t="shared" si="11"/>
        <v>0</v>
      </c>
      <c r="I47" s="52">
        <f t="shared" si="12"/>
        <v>0</v>
      </c>
      <c r="J47" s="52"/>
      <c r="K47" s="115"/>
      <c r="L47" s="54">
        <f t="shared" si="0"/>
        <v>0</v>
      </c>
      <c r="M47" s="115"/>
      <c r="N47" s="54">
        <f t="shared" si="1"/>
        <v>0</v>
      </c>
      <c r="O47" s="54">
        <f t="shared" si="2"/>
        <v>0</v>
      </c>
      <c r="P47" s="1"/>
    </row>
    <row r="48" spans="2:16">
      <c r="B48" s="7" t="str">
        <f t="shared" si="13"/>
        <v/>
      </c>
      <c r="C48" s="50">
        <f>IF(D11="","-",+C47+1)</f>
        <v>2057</v>
      </c>
      <c r="D48" s="55">
        <f>IF(F47+SUM(E$17:E47)=D$10,F47,D$10-SUM(E$17:E47))</f>
        <v>0</v>
      </c>
      <c r="E48" s="56">
        <f t="shared" si="8"/>
        <v>0</v>
      </c>
      <c r="F48" s="55">
        <f t="shared" si="9"/>
        <v>0</v>
      </c>
      <c r="G48" s="57">
        <f t="shared" si="10"/>
        <v>0</v>
      </c>
      <c r="H48" s="42">
        <f t="shared" si="11"/>
        <v>0</v>
      </c>
      <c r="I48" s="52">
        <f t="shared" si="12"/>
        <v>0</v>
      </c>
      <c r="J48" s="52"/>
      <c r="K48" s="115"/>
      <c r="L48" s="54">
        <f t="shared" si="0"/>
        <v>0</v>
      </c>
      <c r="M48" s="115"/>
      <c r="N48" s="54">
        <f t="shared" si="1"/>
        <v>0</v>
      </c>
      <c r="O48" s="54">
        <f t="shared" si="2"/>
        <v>0</v>
      </c>
      <c r="P48" s="1"/>
    </row>
    <row r="49" spans="2:16">
      <c r="B49" s="7" t="str">
        <f t="shared" si="13"/>
        <v/>
      </c>
      <c r="C49" s="50">
        <f>IF(D11="","-",+C48+1)</f>
        <v>2058</v>
      </c>
      <c r="D49" s="55">
        <f>IF(F48+SUM(E$17:E48)=D$10,F48,D$10-SUM(E$17:E48))</f>
        <v>0</v>
      </c>
      <c r="E49" s="56">
        <f t="shared" si="8"/>
        <v>0</v>
      </c>
      <c r="F49" s="55">
        <f t="shared" si="9"/>
        <v>0</v>
      </c>
      <c r="G49" s="57">
        <f t="shared" si="10"/>
        <v>0</v>
      </c>
      <c r="H49" s="42">
        <f t="shared" si="11"/>
        <v>0</v>
      </c>
      <c r="I49" s="52">
        <f t="shared" si="12"/>
        <v>0</v>
      </c>
      <c r="J49" s="52"/>
      <c r="K49" s="115"/>
      <c r="L49" s="54">
        <f t="shared" si="0"/>
        <v>0</v>
      </c>
      <c r="M49" s="115"/>
      <c r="N49" s="54">
        <f t="shared" si="1"/>
        <v>0</v>
      </c>
      <c r="O49" s="54">
        <f t="shared" si="2"/>
        <v>0</v>
      </c>
      <c r="P49" s="1"/>
    </row>
    <row r="50" spans="2:16">
      <c r="B50" s="7" t="str">
        <f t="shared" si="13"/>
        <v/>
      </c>
      <c r="C50" s="50">
        <f>IF(D11="","-",+C49+1)</f>
        <v>2059</v>
      </c>
      <c r="D50" s="55">
        <f>IF(F49+SUM(E$17:E49)=D$10,F49,D$10-SUM(E$17:E49))</f>
        <v>0</v>
      </c>
      <c r="E50" s="56">
        <f t="shared" si="8"/>
        <v>0</v>
      </c>
      <c r="F50" s="55">
        <f t="shared" si="9"/>
        <v>0</v>
      </c>
      <c r="G50" s="57">
        <f t="shared" si="10"/>
        <v>0</v>
      </c>
      <c r="H50" s="42">
        <f t="shared" si="11"/>
        <v>0</v>
      </c>
      <c r="I50" s="52">
        <f t="shared" si="12"/>
        <v>0</v>
      </c>
      <c r="J50" s="52"/>
      <c r="K50" s="115"/>
      <c r="L50" s="54">
        <f t="shared" si="0"/>
        <v>0</v>
      </c>
      <c r="M50" s="115"/>
      <c r="N50" s="54">
        <f t="shared" si="1"/>
        <v>0</v>
      </c>
      <c r="O50" s="54">
        <f t="shared" si="2"/>
        <v>0</v>
      </c>
      <c r="P50" s="1"/>
    </row>
    <row r="51" spans="2:16">
      <c r="B51" s="7" t="str">
        <f t="shared" si="13"/>
        <v/>
      </c>
      <c r="C51" s="50">
        <f>IF(D11="","-",+C50+1)</f>
        <v>2060</v>
      </c>
      <c r="D51" s="55">
        <f>IF(F50+SUM(E$17:E50)=D$10,F50,D$10-SUM(E$17:E50))</f>
        <v>0</v>
      </c>
      <c r="E51" s="56">
        <f t="shared" si="8"/>
        <v>0</v>
      </c>
      <c r="F51" s="55">
        <f t="shared" si="9"/>
        <v>0</v>
      </c>
      <c r="G51" s="57">
        <f t="shared" si="10"/>
        <v>0</v>
      </c>
      <c r="H51" s="42">
        <f t="shared" si="11"/>
        <v>0</v>
      </c>
      <c r="I51" s="52">
        <f t="shared" si="12"/>
        <v>0</v>
      </c>
      <c r="J51" s="52"/>
      <c r="K51" s="115"/>
      <c r="L51" s="54">
        <f t="shared" si="0"/>
        <v>0</v>
      </c>
      <c r="M51" s="115"/>
      <c r="N51" s="54">
        <f t="shared" si="1"/>
        <v>0</v>
      </c>
      <c r="O51" s="54">
        <f t="shared" si="2"/>
        <v>0</v>
      </c>
      <c r="P51" s="1"/>
    </row>
    <row r="52" spans="2:16">
      <c r="B52" s="7" t="str">
        <f t="shared" si="13"/>
        <v/>
      </c>
      <c r="C52" s="50">
        <f>IF(D11="","-",+C51+1)</f>
        <v>2061</v>
      </c>
      <c r="D52" s="55">
        <f>IF(F51+SUM(E$17:E51)=D$10,F51,D$10-SUM(E$17:E51))</f>
        <v>0</v>
      </c>
      <c r="E52" s="56">
        <f t="shared" si="8"/>
        <v>0</v>
      </c>
      <c r="F52" s="55">
        <f t="shared" si="9"/>
        <v>0</v>
      </c>
      <c r="G52" s="57">
        <f t="shared" si="10"/>
        <v>0</v>
      </c>
      <c r="H52" s="42">
        <f t="shared" si="11"/>
        <v>0</v>
      </c>
      <c r="I52" s="52">
        <f t="shared" si="12"/>
        <v>0</v>
      </c>
      <c r="J52" s="52"/>
      <c r="K52" s="115"/>
      <c r="L52" s="54">
        <f t="shared" si="0"/>
        <v>0</v>
      </c>
      <c r="M52" s="115"/>
      <c r="N52" s="54">
        <f t="shared" si="1"/>
        <v>0</v>
      </c>
      <c r="O52" s="54">
        <f t="shared" si="2"/>
        <v>0</v>
      </c>
      <c r="P52" s="1"/>
    </row>
    <row r="53" spans="2:16">
      <c r="B53" s="7" t="str">
        <f t="shared" si="13"/>
        <v/>
      </c>
      <c r="C53" s="50">
        <f>IF(D11="","-",+C52+1)</f>
        <v>2062</v>
      </c>
      <c r="D53" s="55">
        <f>IF(F52+SUM(E$17:E52)=D$10,F52,D$10-SUM(E$17:E52))</f>
        <v>0</v>
      </c>
      <c r="E53" s="56">
        <f t="shared" si="8"/>
        <v>0</v>
      </c>
      <c r="F53" s="55">
        <f t="shared" si="9"/>
        <v>0</v>
      </c>
      <c r="G53" s="57">
        <f t="shared" si="10"/>
        <v>0</v>
      </c>
      <c r="H53" s="42">
        <f t="shared" si="11"/>
        <v>0</v>
      </c>
      <c r="I53" s="52">
        <f t="shared" si="12"/>
        <v>0</v>
      </c>
      <c r="J53" s="52"/>
      <c r="K53" s="115"/>
      <c r="L53" s="54">
        <f t="shared" si="0"/>
        <v>0</v>
      </c>
      <c r="M53" s="115"/>
      <c r="N53" s="54">
        <f t="shared" si="1"/>
        <v>0</v>
      </c>
      <c r="O53" s="54">
        <f t="shared" si="2"/>
        <v>0</v>
      </c>
      <c r="P53" s="1"/>
    </row>
    <row r="54" spans="2:16">
      <c r="B54" s="7" t="str">
        <f t="shared" si="13"/>
        <v/>
      </c>
      <c r="C54" s="50">
        <f>IF(D11="","-",+C53+1)</f>
        <v>2063</v>
      </c>
      <c r="D54" s="55">
        <f>IF(F53+SUM(E$17:E53)=D$10,F53,D$10-SUM(E$17:E53))</f>
        <v>0</v>
      </c>
      <c r="E54" s="56">
        <f t="shared" si="8"/>
        <v>0</v>
      </c>
      <c r="F54" s="55">
        <f t="shared" si="9"/>
        <v>0</v>
      </c>
      <c r="G54" s="57">
        <f t="shared" si="10"/>
        <v>0</v>
      </c>
      <c r="H54" s="42">
        <f t="shared" si="11"/>
        <v>0</v>
      </c>
      <c r="I54" s="52">
        <f t="shared" si="12"/>
        <v>0</v>
      </c>
      <c r="J54" s="52"/>
      <c r="K54" s="115"/>
      <c r="L54" s="54">
        <f t="shared" si="0"/>
        <v>0</v>
      </c>
      <c r="M54" s="115"/>
      <c r="N54" s="54">
        <f t="shared" si="1"/>
        <v>0</v>
      </c>
      <c r="O54" s="54">
        <f t="shared" si="2"/>
        <v>0</v>
      </c>
      <c r="P54" s="1"/>
    </row>
    <row r="55" spans="2:16">
      <c r="B55" s="7" t="str">
        <f t="shared" si="13"/>
        <v/>
      </c>
      <c r="C55" s="50">
        <f>IF(D11="","-",+C54+1)</f>
        <v>2064</v>
      </c>
      <c r="D55" s="55">
        <f>IF(F54+SUM(E$17:E54)=D$10,F54,D$10-SUM(E$17:E54))</f>
        <v>0</v>
      </c>
      <c r="E55" s="56">
        <f t="shared" si="8"/>
        <v>0</v>
      </c>
      <c r="F55" s="55">
        <f t="shared" si="9"/>
        <v>0</v>
      </c>
      <c r="G55" s="57">
        <f t="shared" si="10"/>
        <v>0</v>
      </c>
      <c r="H55" s="42">
        <f t="shared" si="11"/>
        <v>0</v>
      </c>
      <c r="I55" s="52">
        <f t="shared" si="12"/>
        <v>0</v>
      </c>
      <c r="J55" s="52"/>
      <c r="K55" s="115"/>
      <c r="L55" s="54">
        <f t="shared" si="0"/>
        <v>0</v>
      </c>
      <c r="M55" s="115"/>
      <c r="N55" s="54">
        <f t="shared" si="1"/>
        <v>0</v>
      </c>
      <c r="O55" s="54">
        <f t="shared" si="2"/>
        <v>0</v>
      </c>
      <c r="P55" s="1"/>
    </row>
    <row r="56" spans="2:16">
      <c r="B56" s="7" t="str">
        <f t="shared" si="13"/>
        <v/>
      </c>
      <c r="C56" s="50">
        <f>IF(D11="","-",+C55+1)</f>
        <v>2065</v>
      </c>
      <c r="D56" s="55">
        <f>IF(F55+SUM(E$17:E55)=D$10,F55,D$10-SUM(E$17:E55))</f>
        <v>0</v>
      </c>
      <c r="E56" s="56">
        <f t="shared" si="8"/>
        <v>0</v>
      </c>
      <c r="F56" s="55">
        <f t="shared" si="9"/>
        <v>0</v>
      </c>
      <c r="G56" s="57">
        <f t="shared" si="10"/>
        <v>0</v>
      </c>
      <c r="H56" s="42">
        <f t="shared" si="11"/>
        <v>0</v>
      </c>
      <c r="I56" s="52">
        <f t="shared" si="12"/>
        <v>0</v>
      </c>
      <c r="J56" s="52"/>
      <c r="K56" s="115"/>
      <c r="L56" s="54">
        <f t="shared" si="0"/>
        <v>0</v>
      </c>
      <c r="M56" s="115"/>
      <c r="N56" s="54">
        <f t="shared" si="1"/>
        <v>0</v>
      </c>
      <c r="O56" s="54">
        <f t="shared" si="2"/>
        <v>0</v>
      </c>
      <c r="P56" s="1"/>
    </row>
    <row r="57" spans="2:16">
      <c r="B57" s="7" t="str">
        <f t="shared" si="13"/>
        <v/>
      </c>
      <c r="C57" s="50">
        <f>IF(D11="","-",+C56+1)</f>
        <v>2066</v>
      </c>
      <c r="D57" s="55">
        <f>IF(F56+SUM(E$17:E56)=D$10,F56,D$10-SUM(E$17:E56))</f>
        <v>0</v>
      </c>
      <c r="E57" s="56">
        <f t="shared" si="8"/>
        <v>0</v>
      </c>
      <c r="F57" s="55">
        <f t="shared" si="9"/>
        <v>0</v>
      </c>
      <c r="G57" s="57">
        <f t="shared" si="10"/>
        <v>0</v>
      </c>
      <c r="H57" s="42">
        <f t="shared" si="11"/>
        <v>0</v>
      </c>
      <c r="I57" s="52">
        <f t="shared" si="12"/>
        <v>0</v>
      </c>
      <c r="J57" s="52"/>
      <c r="K57" s="115"/>
      <c r="L57" s="54">
        <f t="shared" si="0"/>
        <v>0</v>
      </c>
      <c r="M57" s="115"/>
      <c r="N57" s="54">
        <f t="shared" si="1"/>
        <v>0</v>
      </c>
      <c r="O57" s="54">
        <f t="shared" si="2"/>
        <v>0</v>
      </c>
      <c r="P57" s="1"/>
    </row>
    <row r="58" spans="2:16">
      <c r="B58" s="7" t="str">
        <f t="shared" si="13"/>
        <v/>
      </c>
      <c r="C58" s="50">
        <f>IF(D11="","-",+C57+1)</f>
        <v>2067</v>
      </c>
      <c r="D58" s="55">
        <f>IF(F57+SUM(E$17:E57)=D$10,F57,D$10-SUM(E$17:E57))</f>
        <v>0</v>
      </c>
      <c r="E58" s="56">
        <f t="shared" si="8"/>
        <v>0</v>
      </c>
      <c r="F58" s="55">
        <f t="shared" si="9"/>
        <v>0</v>
      </c>
      <c r="G58" s="57">
        <f t="shared" si="10"/>
        <v>0</v>
      </c>
      <c r="H58" s="42">
        <f t="shared" si="11"/>
        <v>0</v>
      </c>
      <c r="I58" s="52">
        <f t="shared" si="12"/>
        <v>0</v>
      </c>
      <c r="J58" s="52"/>
      <c r="K58" s="115"/>
      <c r="L58" s="54">
        <f t="shared" si="0"/>
        <v>0</v>
      </c>
      <c r="M58" s="115"/>
      <c r="N58" s="54">
        <f t="shared" si="1"/>
        <v>0</v>
      </c>
      <c r="O58" s="54">
        <f t="shared" si="2"/>
        <v>0</v>
      </c>
      <c r="P58" s="1"/>
    </row>
    <row r="59" spans="2:16">
      <c r="B59" s="7" t="str">
        <f t="shared" si="13"/>
        <v/>
      </c>
      <c r="C59" s="50">
        <f>IF(D11="","-",+C58+1)</f>
        <v>2068</v>
      </c>
      <c r="D59" s="55">
        <f>IF(F58+SUM(E$17:E58)=D$10,F58,D$10-SUM(E$17:E58))</f>
        <v>0</v>
      </c>
      <c r="E59" s="56">
        <f t="shared" si="8"/>
        <v>0</v>
      </c>
      <c r="F59" s="55">
        <f t="shared" si="9"/>
        <v>0</v>
      </c>
      <c r="G59" s="57">
        <f t="shared" si="10"/>
        <v>0</v>
      </c>
      <c r="H59" s="42">
        <f t="shared" si="11"/>
        <v>0</v>
      </c>
      <c r="I59" s="52">
        <f t="shared" si="12"/>
        <v>0</v>
      </c>
      <c r="J59" s="52"/>
      <c r="K59" s="115"/>
      <c r="L59" s="54">
        <f t="shared" si="0"/>
        <v>0</v>
      </c>
      <c r="M59" s="115"/>
      <c r="N59" s="54">
        <f t="shared" si="1"/>
        <v>0</v>
      </c>
      <c r="O59" s="54">
        <f t="shared" si="2"/>
        <v>0</v>
      </c>
      <c r="P59" s="1"/>
    </row>
    <row r="60" spans="2:16">
      <c r="B60" s="7" t="str">
        <f t="shared" si="13"/>
        <v/>
      </c>
      <c r="C60" s="50">
        <f>IF(D11="","-",+C59+1)</f>
        <v>2069</v>
      </c>
      <c r="D60" s="55">
        <f>IF(F59+SUM(E$17:E59)=D$10,F59,D$10-SUM(E$17:E59))</f>
        <v>0</v>
      </c>
      <c r="E60" s="56">
        <f t="shared" si="8"/>
        <v>0</v>
      </c>
      <c r="F60" s="55">
        <f t="shared" si="9"/>
        <v>0</v>
      </c>
      <c r="G60" s="57">
        <f t="shared" si="10"/>
        <v>0</v>
      </c>
      <c r="H60" s="42">
        <f t="shared" si="11"/>
        <v>0</v>
      </c>
      <c r="I60" s="52">
        <f t="shared" si="12"/>
        <v>0</v>
      </c>
      <c r="J60" s="52"/>
      <c r="K60" s="115"/>
      <c r="L60" s="54">
        <f t="shared" si="0"/>
        <v>0</v>
      </c>
      <c r="M60" s="115"/>
      <c r="N60" s="54">
        <f t="shared" si="1"/>
        <v>0</v>
      </c>
      <c r="O60" s="54">
        <f t="shared" si="2"/>
        <v>0</v>
      </c>
      <c r="P60" s="1"/>
    </row>
    <row r="61" spans="2:16">
      <c r="B61" s="7" t="str">
        <f t="shared" si="13"/>
        <v/>
      </c>
      <c r="C61" s="50">
        <f>IF(D11="","-",+C60+1)</f>
        <v>2070</v>
      </c>
      <c r="D61" s="55">
        <f>IF(F60+SUM(E$17:E60)=D$10,F60,D$10-SUM(E$17:E60))</f>
        <v>0</v>
      </c>
      <c r="E61" s="56">
        <f t="shared" si="8"/>
        <v>0</v>
      </c>
      <c r="F61" s="55">
        <f t="shared" si="9"/>
        <v>0</v>
      </c>
      <c r="G61" s="57">
        <f t="shared" si="10"/>
        <v>0</v>
      </c>
      <c r="H61" s="42">
        <f t="shared" si="11"/>
        <v>0</v>
      </c>
      <c r="I61" s="52">
        <f t="shared" si="12"/>
        <v>0</v>
      </c>
      <c r="J61" s="52"/>
      <c r="K61" s="115"/>
      <c r="L61" s="54">
        <f t="shared" si="0"/>
        <v>0</v>
      </c>
      <c r="M61" s="115"/>
      <c r="N61" s="54">
        <f t="shared" si="1"/>
        <v>0</v>
      </c>
      <c r="O61" s="54">
        <f t="shared" si="2"/>
        <v>0</v>
      </c>
      <c r="P61" s="1"/>
    </row>
    <row r="62" spans="2:16">
      <c r="B62" s="7" t="str">
        <f t="shared" si="13"/>
        <v/>
      </c>
      <c r="C62" s="50">
        <f>IF(D11="","-",+C61+1)</f>
        <v>2071</v>
      </c>
      <c r="D62" s="55">
        <f>IF(F61+SUM(E$17:E61)=D$10,F61,D$10-SUM(E$17:E61))</f>
        <v>0</v>
      </c>
      <c r="E62" s="56">
        <f t="shared" si="8"/>
        <v>0</v>
      </c>
      <c r="F62" s="55">
        <f t="shared" si="9"/>
        <v>0</v>
      </c>
      <c r="G62" s="57">
        <f t="shared" si="10"/>
        <v>0</v>
      </c>
      <c r="H62" s="42">
        <f t="shared" si="11"/>
        <v>0</v>
      </c>
      <c r="I62" s="52">
        <f t="shared" si="12"/>
        <v>0</v>
      </c>
      <c r="J62" s="52"/>
      <c r="K62" s="115"/>
      <c r="L62" s="54">
        <f t="shared" si="0"/>
        <v>0</v>
      </c>
      <c r="M62" s="115"/>
      <c r="N62" s="54">
        <f t="shared" si="1"/>
        <v>0</v>
      </c>
      <c r="O62" s="54">
        <f t="shared" si="2"/>
        <v>0</v>
      </c>
      <c r="P62" s="1"/>
    </row>
    <row r="63" spans="2:16">
      <c r="B63" s="7" t="str">
        <f t="shared" si="13"/>
        <v/>
      </c>
      <c r="C63" s="50">
        <f>IF(D11="","-",+C62+1)</f>
        <v>2072</v>
      </c>
      <c r="D63" s="55">
        <f>IF(F62+SUM(E$17:E62)=D$10,F62,D$10-SUM(E$17:E62))</f>
        <v>0</v>
      </c>
      <c r="E63" s="56">
        <f t="shared" si="8"/>
        <v>0</v>
      </c>
      <c r="F63" s="55">
        <f t="shared" si="9"/>
        <v>0</v>
      </c>
      <c r="G63" s="57">
        <f t="shared" si="10"/>
        <v>0</v>
      </c>
      <c r="H63" s="42">
        <f t="shared" si="11"/>
        <v>0</v>
      </c>
      <c r="I63" s="52">
        <f t="shared" si="12"/>
        <v>0</v>
      </c>
      <c r="J63" s="52"/>
      <c r="K63" s="115"/>
      <c r="L63" s="54">
        <f t="shared" si="0"/>
        <v>0</v>
      </c>
      <c r="M63" s="115"/>
      <c r="N63" s="54">
        <f t="shared" si="1"/>
        <v>0</v>
      </c>
      <c r="O63" s="54">
        <f t="shared" si="2"/>
        <v>0</v>
      </c>
      <c r="P63" s="1"/>
    </row>
    <row r="64" spans="2:16">
      <c r="B64" s="7" t="str">
        <f t="shared" si="13"/>
        <v/>
      </c>
      <c r="C64" s="50">
        <f>IF(D11="","-",+C63+1)</f>
        <v>2073</v>
      </c>
      <c r="D64" s="55">
        <f>IF(F63+SUM(E$17:E63)=D$10,F63,D$10-SUM(E$17:E63))</f>
        <v>0</v>
      </c>
      <c r="E64" s="56">
        <f t="shared" si="8"/>
        <v>0</v>
      </c>
      <c r="F64" s="55">
        <f t="shared" si="9"/>
        <v>0</v>
      </c>
      <c r="G64" s="57">
        <f t="shared" si="10"/>
        <v>0</v>
      </c>
      <c r="H64" s="42">
        <f t="shared" si="11"/>
        <v>0</v>
      </c>
      <c r="I64" s="52">
        <f t="shared" si="12"/>
        <v>0</v>
      </c>
      <c r="J64" s="52"/>
      <c r="K64" s="115"/>
      <c r="L64" s="54">
        <f t="shared" si="0"/>
        <v>0</v>
      </c>
      <c r="M64" s="115"/>
      <c r="N64" s="54">
        <f t="shared" si="1"/>
        <v>0</v>
      </c>
      <c r="O64" s="54">
        <f t="shared" si="2"/>
        <v>0</v>
      </c>
      <c r="P64" s="1"/>
    </row>
    <row r="65" spans="2:16">
      <c r="B65" s="7" t="str">
        <f t="shared" si="13"/>
        <v/>
      </c>
      <c r="C65" s="50">
        <f>IF(D11="","-",+C64+1)</f>
        <v>2074</v>
      </c>
      <c r="D65" s="55">
        <f>IF(F64+SUM(E$17:E64)=D$10,F64,D$10-SUM(E$17:E64))</f>
        <v>0</v>
      </c>
      <c r="E65" s="56">
        <f t="shared" si="8"/>
        <v>0</v>
      </c>
      <c r="F65" s="55">
        <f t="shared" si="9"/>
        <v>0</v>
      </c>
      <c r="G65" s="57">
        <f t="shared" si="10"/>
        <v>0</v>
      </c>
      <c r="H65" s="42">
        <f t="shared" si="11"/>
        <v>0</v>
      </c>
      <c r="I65" s="52">
        <f t="shared" si="12"/>
        <v>0</v>
      </c>
      <c r="J65" s="52"/>
      <c r="K65" s="115"/>
      <c r="L65" s="54">
        <f t="shared" si="0"/>
        <v>0</v>
      </c>
      <c r="M65" s="115"/>
      <c r="N65" s="54">
        <f t="shared" si="1"/>
        <v>0</v>
      </c>
      <c r="O65" s="54">
        <f t="shared" si="2"/>
        <v>0</v>
      </c>
      <c r="P65" s="1"/>
    </row>
    <row r="66" spans="2:16">
      <c r="B66" s="7" t="str">
        <f t="shared" si="13"/>
        <v/>
      </c>
      <c r="C66" s="50">
        <f>IF(D11="","-",+C65+1)</f>
        <v>2075</v>
      </c>
      <c r="D66" s="55">
        <f>IF(F65+SUM(E$17:E65)=D$10,F65,D$10-SUM(E$17:E65))</f>
        <v>0</v>
      </c>
      <c r="E66" s="56">
        <f t="shared" si="8"/>
        <v>0</v>
      </c>
      <c r="F66" s="55">
        <f t="shared" si="9"/>
        <v>0</v>
      </c>
      <c r="G66" s="57">
        <f t="shared" si="10"/>
        <v>0</v>
      </c>
      <c r="H66" s="42">
        <f t="shared" si="11"/>
        <v>0</v>
      </c>
      <c r="I66" s="52">
        <f t="shared" si="12"/>
        <v>0</v>
      </c>
      <c r="J66" s="52"/>
      <c r="K66" s="115"/>
      <c r="L66" s="54">
        <f t="shared" si="0"/>
        <v>0</v>
      </c>
      <c r="M66" s="115"/>
      <c r="N66" s="54">
        <f t="shared" si="1"/>
        <v>0</v>
      </c>
      <c r="O66" s="54">
        <f t="shared" si="2"/>
        <v>0</v>
      </c>
      <c r="P66" s="1"/>
    </row>
    <row r="67" spans="2:16">
      <c r="B67" s="7" t="str">
        <f t="shared" si="13"/>
        <v/>
      </c>
      <c r="C67" s="50">
        <f>IF(D11="","-",+C66+1)</f>
        <v>2076</v>
      </c>
      <c r="D67" s="55">
        <f>IF(F66+SUM(E$17:E66)=D$10,F66,D$10-SUM(E$17:E66))</f>
        <v>0</v>
      </c>
      <c r="E67" s="56">
        <f t="shared" si="8"/>
        <v>0</v>
      </c>
      <c r="F67" s="55">
        <f t="shared" si="9"/>
        <v>0</v>
      </c>
      <c r="G67" s="57">
        <f t="shared" si="10"/>
        <v>0</v>
      </c>
      <c r="H67" s="42">
        <f t="shared" si="11"/>
        <v>0</v>
      </c>
      <c r="I67" s="52">
        <f t="shared" si="12"/>
        <v>0</v>
      </c>
      <c r="J67" s="52"/>
      <c r="K67" s="115"/>
      <c r="L67" s="54">
        <f t="shared" si="0"/>
        <v>0</v>
      </c>
      <c r="M67" s="115"/>
      <c r="N67" s="54">
        <f t="shared" si="1"/>
        <v>0</v>
      </c>
      <c r="O67" s="54">
        <f t="shared" si="2"/>
        <v>0</v>
      </c>
      <c r="P67" s="1"/>
    </row>
    <row r="68" spans="2:16">
      <c r="B68" s="7" t="str">
        <f t="shared" si="13"/>
        <v/>
      </c>
      <c r="C68" s="50">
        <f>IF(D11="","-",+C67+1)</f>
        <v>2077</v>
      </c>
      <c r="D68" s="55">
        <f>IF(F67+SUM(E$17:E67)=D$10,F67,D$10-SUM(E$17:E67))</f>
        <v>0</v>
      </c>
      <c r="E68" s="56">
        <f t="shared" si="8"/>
        <v>0</v>
      </c>
      <c r="F68" s="55">
        <f t="shared" si="9"/>
        <v>0</v>
      </c>
      <c r="G68" s="57">
        <f t="shared" si="10"/>
        <v>0</v>
      </c>
      <c r="H68" s="42">
        <f t="shared" si="11"/>
        <v>0</v>
      </c>
      <c r="I68" s="52">
        <f t="shared" si="12"/>
        <v>0</v>
      </c>
      <c r="J68" s="52"/>
      <c r="K68" s="115"/>
      <c r="L68" s="54">
        <f t="shared" si="0"/>
        <v>0</v>
      </c>
      <c r="M68" s="115"/>
      <c r="N68" s="54">
        <f t="shared" si="1"/>
        <v>0</v>
      </c>
      <c r="O68" s="54">
        <f t="shared" si="2"/>
        <v>0</v>
      </c>
      <c r="P68" s="1"/>
    </row>
    <row r="69" spans="2:16">
      <c r="B69" s="7" t="str">
        <f t="shared" si="13"/>
        <v/>
      </c>
      <c r="C69" s="50">
        <f>IF(D11="","-",+C68+1)</f>
        <v>2078</v>
      </c>
      <c r="D69" s="55">
        <f>IF(F68+SUM(E$17:E68)=D$10,F68,D$10-SUM(E$17:E68))</f>
        <v>0</v>
      </c>
      <c r="E69" s="56">
        <f t="shared" si="8"/>
        <v>0</v>
      </c>
      <c r="F69" s="55">
        <f t="shared" si="9"/>
        <v>0</v>
      </c>
      <c r="G69" s="57">
        <f t="shared" si="10"/>
        <v>0</v>
      </c>
      <c r="H69" s="42">
        <f t="shared" si="11"/>
        <v>0</v>
      </c>
      <c r="I69" s="52">
        <f t="shared" si="12"/>
        <v>0</v>
      </c>
      <c r="J69" s="52"/>
      <c r="K69" s="115"/>
      <c r="L69" s="54">
        <f t="shared" si="0"/>
        <v>0</v>
      </c>
      <c r="M69" s="115"/>
      <c r="N69" s="54">
        <f t="shared" si="1"/>
        <v>0</v>
      </c>
      <c r="O69" s="54">
        <f t="shared" si="2"/>
        <v>0</v>
      </c>
      <c r="P69" s="1"/>
    </row>
    <row r="70" spans="2:16">
      <c r="B70" s="7" t="str">
        <f t="shared" si="13"/>
        <v/>
      </c>
      <c r="C70" s="50">
        <f>IF(D11="","-",+C69+1)</f>
        <v>2079</v>
      </c>
      <c r="D70" s="55">
        <f>IF(F69+SUM(E$17:E69)=D$10,F69,D$10-SUM(E$17:E69))</f>
        <v>0</v>
      </c>
      <c r="E70" s="56">
        <f t="shared" si="8"/>
        <v>0</v>
      </c>
      <c r="F70" s="55">
        <f t="shared" si="9"/>
        <v>0</v>
      </c>
      <c r="G70" s="57">
        <f t="shared" si="10"/>
        <v>0</v>
      </c>
      <c r="H70" s="42">
        <f t="shared" si="11"/>
        <v>0</v>
      </c>
      <c r="I70" s="52">
        <f t="shared" si="12"/>
        <v>0</v>
      </c>
      <c r="J70" s="52"/>
      <c r="K70" s="115"/>
      <c r="L70" s="54">
        <f t="shared" si="0"/>
        <v>0</v>
      </c>
      <c r="M70" s="115"/>
      <c r="N70" s="54">
        <f t="shared" si="1"/>
        <v>0</v>
      </c>
      <c r="O70" s="54">
        <f t="shared" si="2"/>
        <v>0</v>
      </c>
      <c r="P70" s="1"/>
    </row>
    <row r="71" spans="2:16">
      <c r="B71" s="7" t="str">
        <f t="shared" si="13"/>
        <v/>
      </c>
      <c r="C71" s="50">
        <f>IF(D11="","-",+C70+1)</f>
        <v>2080</v>
      </c>
      <c r="D71" s="55">
        <f>IF(F70+SUM(E$17:E70)=D$10,F70,D$10-SUM(E$17:E70))</f>
        <v>0</v>
      </c>
      <c r="E71" s="56">
        <f t="shared" si="8"/>
        <v>0</v>
      </c>
      <c r="F71" s="55">
        <f t="shared" si="9"/>
        <v>0</v>
      </c>
      <c r="G71" s="57">
        <f t="shared" si="10"/>
        <v>0</v>
      </c>
      <c r="H71" s="42">
        <f t="shared" si="11"/>
        <v>0</v>
      </c>
      <c r="I71" s="52">
        <f t="shared" si="12"/>
        <v>0</v>
      </c>
      <c r="J71" s="52"/>
      <c r="K71" s="115"/>
      <c r="L71" s="54">
        <f t="shared" si="0"/>
        <v>0</v>
      </c>
      <c r="M71" s="115"/>
      <c r="N71" s="54">
        <f t="shared" si="1"/>
        <v>0</v>
      </c>
      <c r="O71" s="54">
        <f t="shared" si="2"/>
        <v>0</v>
      </c>
      <c r="P71" s="1"/>
    </row>
    <row r="72" spans="2:16" ht="13.5" thickBot="1">
      <c r="B72" s="7" t="str">
        <f t="shared" si="13"/>
        <v/>
      </c>
      <c r="C72" s="58">
        <f>IF(D11="","-",+C71+1)</f>
        <v>2081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0"/>
        <v>0</v>
      </c>
      <c r="M72" s="116"/>
      <c r="N72" s="62">
        <f t="shared" si="1"/>
        <v>0</v>
      </c>
      <c r="O72" s="62">
        <f t="shared" si="2"/>
        <v>0</v>
      </c>
      <c r="P72" s="1"/>
    </row>
    <row r="73" spans="2:16">
      <c r="C73" s="12" t="s">
        <v>77</v>
      </c>
      <c r="D73" s="14"/>
      <c r="E73" s="14">
        <f>SUM(E17:E72)</f>
        <v>0</v>
      </c>
      <c r="F73" s="14"/>
      <c r="G73" s="14">
        <f>SUM(G17:G72)</f>
        <v>0</v>
      </c>
      <c r="H73" s="14">
        <f>SUM(H17:H72)</f>
        <v>0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36 of 36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5.75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2025</v>
      </c>
      <c r="M86" s="102" t="s">
        <v>8</v>
      </c>
      <c r="N86" s="103" t="s">
        <v>153</v>
      </c>
      <c r="O86" s="104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0</v>
      </c>
      <c r="N87" s="66">
        <f>IF(J92&lt;D11,0,VLOOKUP(J92,C17:O72,11))</f>
        <v>0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0</v>
      </c>
      <c r="N88" s="68">
        <f>IF(J92&lt;D11,0,VLOOKUP(J92,C99:P154,7))</f>
        <v>0</v>
      </c>
      <c r="O88" s="69">
        <f>+N88-M88</f>
        <v>0</v>
      </c>
      <c r="P88" s="1"/>
    </row>
    <row r="89" spans="1:16" ht="13.5" thickBot="1">
      <c r="C89" s="26" t="s">
        <v>92</v>
      </c>
      <c r="D89" s="97" t="s">
        <v>387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0</v>
      </c>
      <c r="N89" s="71">
        <f>+N88-N87</f>
        <v>0</v>
      </c>
      <c r="O89" s="72">
        <f>+O88-O87</f>
        <v>0</v>
      </c>
      <c r="P89" s="1"/>
    </row>
    <row r="90" spans="1:16" ht="13.5" thickBot="1">
      <c r="C90" s="30"/>
      <c r="D90" s="64"/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">
        <v>385</v>
      </c>
      <c r="E91" s="74" t="s">
        <v>386</v>
      </c>
      <c r="F91" s="74"/>
      <c r="G91" s="74"/>
      <c r="H91" s="74"/>
      <c r="I91" s="74"/>
      <c r="J91" s="74"/>
    </row>
    <row r="92" spans="1:16">
      <c r="C92" s="128" t="s">
        <v>226</v>
      </c>
      <c r="D92" s="85">
        <v>6866392.0600000005</v>
      </c>
      <c r="E92" s="1" t="s">
        <v>94</v>
      </c>
      <c r="H92" s="2"/>
      <c r="I92" s="2"/>
      <c r="J92" s="36">
        <f>+'PSO.WS.G.BPU.ATRR.True-up'!M16</f>
        <v>2025</v>
      </c>
      <c r="K92" s="34"/>
      <c r="L92" s="14" t="s">
        <v>95</v>
      </c>
      <c r="P92" s="1"/>
    </row>
    <row r="93" spans="1:16">
      <c r="C93" s="37" t="s">
        <v>53</v>
      </c>
      <c r="D93" s="86">
        <v>2026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85">
        <f>D12</f>
        <v>6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14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185578</v>
      </c>
      <c r="K96" s="14"/>
      <c r="L96" s="14"/>
      <c r="M96" s="14"/>
      <c r="N96" s="14"/>
      <c r="O96" s="14"/>
      <c r="P96" s="1"/>
    </row>
    <row r="97" spans="1:16" ht="38.25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281</v>
      </c>
      <c r="I97" s="118" t="s">
        <v>282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>
      <c r="C99" s="50">
        <f>IF(D93= "","-",D93)</f>
        <v>2026</v>
      </c>
      <c r="D99" s="12">
        <v>0</v>
      </c>
      <c r="E99" s="57">
        <v>0</v>
      </c>
      <c r="F99" s="55">
        <v>2353669.9899999998</v>
      </c>
      <c r="G99" s="81">
        <v>1176834.9949999999</v>
      </c>
      <c r="H99" s="81">
        <v>158070.9581257196</v>
      </c>
      <c r="I99" s="81">
        <v>158070.9581257196</v>
      </c>
      <c r="J99" s="54">
        <f>+I99-H99</f>
        <v>0</v>
      </c>
      <c r="K99" s="54"/>
      <c r="L99" s="446">
        <f>+H99</f>
        <v>158070.9581257196</v>
      </c>
      <c r="M99" s="446">
        <f t="shared" ref="M99:M130" si="14">IF(L99&lt;&gt;0,+H99-L99,0)</f>
        <v>0</v>
      </c>
      <c r="N99" s="446">
        <f>+I99</f>
        <v>158070.9581257196</v>
      </c>
      <c r="O99" s="446">
        <f t="shared" ref="O99:O130" si="15">IF(N99&lt;&gt;0,+I99-N99,0)</f>
        <v>0</v>
      </c>
      <c r="P99" s="446">
        <f t="shared" ref="P99:P130" si="16">+O99-M99</f>
        <v>0</v>
      </c>
    </row>
    <row r="100" spans="1:16">
      <c r="B100" s="7" t="str">
        <f>IF(D100=F99,"","IU")</f>
        <v>IU</v>
      </c>
      <c r="C100" s="50">
        <f>IF(D93="","-",+C99+1)</f>
        <v>2027</v>
      </c>
      <c r="D100" s="12">
        <f>IF(F99+SUM(E$99:E99)=D$92,F99,D$92-SUM(E$99:E99))</f>
        <v>6866392.0600000005</v>
      </c>
      <c r="E100" s="56">
        <f>IF(+J$96&lt;F99,J$96,D100)</f>
        <v>185578</v>
      </c>
      <c r="F100" s="55">
        <f>+D100-E100</f>
        <v>6680814.0600000005</v>
      </c>
      <c r="G100" s="55">
        <f>+(F100+D100)/2</f>
        <v>6773603.0600000005</v>
      </c>
      <c r="H100" s="113">
        <f t="shared" ref="H100:H154" si="17">+J$94*G100+E100</f>
        <v>995843.75870241167</v>
      </c>
      <c r="I100" s="122">
        <f t="shared" ref="I100:I154" si="18">+J$95*G100+E100</f>
        <v>995843.75870241167</v>
      </c>
      <c r="J100" s="54">
        <f t="shared" ref="J100:J130" si="19">+I100-H100</f>
        <v>0</v>
      </c>
      <c r="K100" s="54"/>
      <c r="L100" s="115"/>
      <c r="M100" s="54">
        <f t="shared" si="14"/>
        <v>0</v>
      </c>
      <c r="N100" s="115"/>
      <c r="O100" s="54">
        <f t="shared" si="15"/>
        <v>0</v>
      </c>
      <c r="P100" s="54">
        <f t="shared" si="16"/>
        <v>0</v>
      </c>
    </row>
    <row r="101" spans="1:16">
      <c r="B101" s="7" t="str">
        <f t="shared" ref="B101:B154" si="20">IF(D101=F100,"","IU")</f>
        <v/>
      </c>
      <c r="C101" s="50">
        <f>IF(D93="","-",+C100+1)</f>
        <v>2028</v>
      </c>
      <c r="D101" s="12">
        <f>IF(F100+SUM(E$99:E100)=D$92,F100,D$92-SUM(E$99:E100))</f>
        <v>6680814.0600000005</v>
      </c>
      <c r="E101" s="56">
        <f t="shared" ref="E101:E154" si="21">IF(+J$96&lt;F100,J$96,D101)</f>
        <v>185578</v>
      </c>
      <c r="F101" s="55">
        <f t="shared" ref="F101:F154" si="22">+D101-E101</f>
        <v>6495236.0600000005</v>
      </c>
      <c r="G101" s="55">
        <f t="shared" ref="G101:G154" si="23">+(F101+D101)/2</f>
        <v>6588025.0600000005</v>
      </c>
      <c r="H101" s="113">
        <f t="shared" si="17"/>
        <v>973644.71668053151</v>
      </c>
      <c r="I101" s="122">
        <f t="shared" si="18"/>
        <v>973644.71668053151</v>
      </c>
      <c r="J101" s="54">
        <f t="shared" si="19"/>
        <v>0</v>
      </c>
      <c r="K101" s="54"/>
      <c r="L101" s="115"/>
      <c r="M101" s="54">
        <f t="shared" si="14"/>
        <v>0</v>
      </c>
      <c r="N101" s="115"/>
      <c r="O101" s="54">
        <f t="shared" si="15"/>
        <v>0</v>
      </c>
      <c r="P101" s="54">
        <f t="shared" si="16"/>
        <v>0</v>
      </c>
    </row>
    <row r="102" spans="1:16">
      <c r="B102" s="7" t="str">
        <f t="shared" si="20"/>
        <v/>
      </c>
      <c r="C102" s="50">
        <f>IF(D93="","-",+C101+1)</f>
        <v>2029</v>
      </c>
      <c r="D102" s="12">
        <f>IF(F101+SUM(E$99:E101)=D$92,F101,D$92-SUM(E$99:E101))</f>
        <v>6495236.0600000005</v>
      </c>
      <c r="E102" s="56">
        <f t="shared" si="21"/>
        <v>185578</v>
      </c>
      <c r="F102" s="55">
        <f t="shared" si="22"/>
        <v>6309658.0600000005</v>
      </c>
      <c r="G102" s="55">
        <f t="shared" si="23"/>
        <v>6402447.0600000005</v>
      </c>
      <c r="H102" s="113">
        <f t="shared" si="17"/>
        <v>951445.67465865135</v>
      </c>
      <c r="I102" s="122">
        <f t="shared" si="18"/>
        <v>951445.67465865135</v>
      </c>
      <c r="J102" s="54">
        <f t="shared" si="19"/>
        <v>0</v>
      </c>
      <c r="K102" s="54"/>
      <c r="L102" s="115"/>
      <c r="M102" s="54">
        <f t="shared" si="14"/>
        <v>0</v>
      </c>
      <c r="N102" s="115"/>
      <c r="O102" s="54">
        <f t="shared" si="15"/>
        <v>0</v>
      </c>
      <c r="P102" s="54">
        <f t="shared" si="16"/>
        <v>0</v>
      </c>
    </row>
    <row r="103" spans="1:16">
      <c r="B103" s="7" t="str">
        <f t="shared" si="20"/>
        <v/>
      </c>
      <c r="C103" s="50">
        <f>IF(D93="","-",+C102+1)</f>
        <v>2030</v>
      </c>
      <c r="D103" s="12">
        <f>IF(F102+SUM(E$99:E102)=D$92,F102,D$92-SUM(E$99:E102))</f>
        <v>6309658.0600000005</v>
      </c>
      <c r="E103" s="56">
        <f t="shared" si="21"/>
        <v>185578</v>
      </c>
      <c r="F103" s="55">
        <f t="shared" si="22"/>
        <v>6124080.0600000005</v>
      </c>
      <c r="G103" s="55">
        <f t="shared" si="23"/>
        <v>6216869.0600000005</v>
      </c>
      <c r="H103" s="113">
        <f t="shared" si="17"/>
        <v>929246.63263677119</v>
      </c>
      <c r="I103" s="122">
        <f t="shared" si="18"/>
        <v>929246.63263677119</v>
      </c>
      <c r="J103" s="54">
        <f t="shared" si="19"/>
        <v>0</v>
      </c>
      <c r="K103" s="54"/>
      <c r="L103" s="115"/>
      <c r="M103" s="54">
        <f t="shared" si="14"/>
        <v>0</v>
      </c>
      <c r="N103" s="115"/>
      <c r="O103" s="54">
        <f t="shared" si="15"/>
        <v>0</v>
      </c>
      <c r="P103" s="54">
        <f t="shared" si="16"/>
        <v>0</v>
      </c>
    </row>
    <row r="104" spans="1:16">
      <c r="B104" s="7" t="str">
        <f t="shared" si="20"/>
        <v/>
      </c>
      <c r="C104" s="50">
        <f>IF(D93="","-",+C103+1)</f>
        <v>2031</v>
      </c>
      <c r="D104" s="12">
        <f>IF(F103+SUM(E$99:E103)=D$92,F103,D$92-SUM(E$99:E103))</f>
        <v>6124080.0600000005</v>
      </c>
      <c r="E104" s="56">
        <f t="shared" si="21"/>
        <v>185578</v>
      </c>
      <c r="F104" s="55">
        <f t="shared" si="22"/>
        <v>5938502.0600000005</v>
      </c>
      <c r="G104" s="55">
        <f t="shared" si="23"/>
        <v>6031291.0600000005</v>
      </c>
      <c r="H104" s="113">
        <f t="shared" si="17"/>
        <v>907047.59061489103</v>
      </c>
      <c r="I104" s="122">
        <f t="shared" si="18"/>
        <v>907047.59061489103</v>
      </c>
      <c r="J104" s="54">
        <f t="shared" si="19"/>
        <v>0</v>
      </c>
      <c r="K104" s="54"/>
      <c r="L104" s="115"/>
      <c r="M104" s="54">
        <f t="shared" si="14"/>
        <v>0</v>
      </c>
      <c r="N104" s="115"/>
      <c r="O104" s="54">
        <f t="shared" si="15"/>
        <v>0</v>
      </c>
      <c r="P104" s="54">
        <f t="shared" si="16"/>
        <v>0</v>
      </c>
    </row>
    <row r="105" spans="1:16">
      <c r="B105" s="7" t="str">
        <f t="shared" si="20"/>
        <v/>
      </c>
      <c r="C105" s="50">
        <f>IF(D93="","-",+C104+1)</f>
        <v>2032</v>
      </c>
      <c r="D105" s="12">
        <f>IF(F104+SUM(E$99:E104)=D$92,F104,D$92-SUM(E$99:E104))</f>
        <v>5938502.0600000005</v>
      </c>
      <c r="E105" s="56">
        <f t="shared" si="21"/>
        <v>185578</v>
      </c>
      <c r="F105" s="55">
        <f t="shared" si="22"/>
        <v>5752924.0600000005</v>
      </c>
      <c r="G105" s="55">
        <f t="shared" si="23"/>
        <v>5845713.0600000005</v>
      </c>
      <c r="H105" s="113">
        <f t="shared" si="17"/>
        <v>884848.54859301087</v>
      </c>
      <c r="I105" s="122">
        <f t="shared" si="18"/>
        <v>884848.54859301087</v>
      </c>
      <c r="J105" s="54">
        <f t="shared" si="19"/>
        <v>0</v>
      </c>
      <c r="K105" s="54"/>
      <c r="L105" s="115"/>
      <c r="M105" s="54">
        <f t="shared" si="14"/>
        <v>0</v>
      </c>
      <c r="N105" s="115"/>
      <c r="O105" s="54">
        <f t="shared" si="15"/>
        <v>0</v>
      </c>
      <c r="P105" s="54">
        <f t="shared" si="16"/>
        <v>0</v>
      </c>
    </row>
    <row r="106" spans="1:16">
      <c r="B106" s="7" t="str">
        <f t="shared" si="20"/>
        <v/>
      </c>
      <c r="C106" s="50">
        <f>IF(D93="","-",+C105+1)</f>
        <v>2033</v>
      </c>
      <c r="D106" s="12">
        <f>IF(F105+SUM(E$99:E105)=D$92,F105,D$92-SUM(E$99:E105))</f>
        <v>5752924.0600000005</v>
      </c>
      <c r="E106" s="56">
        <f t="shared" si="21"/>
        <v>185578</v>
      </c>
      <c r="F106" s="55">
        <f t="shared" si="22"/>
        <v>5567346.0600000005</v>
      </c>
      <c r="G106" s="55">
        <f t="shared" si="23"/>
        <v>5660135.0600000005</v>
      </c>
      <c r="H106" s="113">
        <f t="shared" si="17"/>
        <v>862649.50657113071</v>
      </c>
      <c r="I106" s="122">
        <f t="shared" si="18"/>
        <v>862649.50657113071</v>
      </c>
      <c r="J106" s="54">
        <f t="shared" si="19"/>
        <v>0</v>
      </c>
      <c r="K106" s="54"/>
      <c r="L106" s="115"/>
      <c r="M106" s="54">
        <f t="shared" si="14"/>
        <v>0</v>
      </c>
      <c r="N106" s="115"/>
      <c r="O106" s="54">
        <f t="shared" si="15"/>
        <v>0</v>
      </c>
      <c r="P106" s="54">
        <f t="shared" si="16"/>
        <v>0</v>
      </c>
    </row>
    <row r="107" spans="1:16">
      <c r="B107" s="7" t="str">
        <f t="shared" si="20"/>
        <v/>
      </c>
      <c r="C107" s="50">
        <f>IF(D93="","-",+C106+1)</f>
        <v>2034</v>
      </c>
      <c r="D107" s="12">
        <f>IF(F106+SUM(E$99:E106)=D$92,F106,D$92-SUM(E$99:E106))</f>
        <v>5567346.0600000005</v>
      </c>
      <c r="E107" s="56">
        <f t="shared" si="21"/>
        <v>185578</v>
      </c>
      <c r="F107" s="55">
        <f t="shared" si="22"/>
        <v>5381768.0600000005</v>
      </c>
      <c r="G107" s="55">
        <f t="shared" si="23"/>
        <v>5474557.0600000005</v>
      </c>
      <c r="H107" s="113">
        <f t="shared" si="17"/>
        <v>840450.46454925044</v>
      </c>
      <c r="I107" s="122">
        <f t="shared" si="18"/>
        <v>840450.46454925044</v>
      </c>
      <c r="J107" s="54">
        <f t="shared" si="19"/>
        <v>0</v>
      </c>
      <c r="K107" s="54"/>
      <c r="L107" s="115"/>
      <c r="M107" s="54">
        <f t="shared" si="14"/>
        <v>0</v>
      </c>
      <c r="N107" s="115"/>
      <c r="O107" s="54">
        <f t="shared" si="15"/>
        <v>0</v>
      </c>
      <c r="P107" s="54">
        <f t="shared" si="16"/>
        <v>0</v>
      </c>
    </row>
    <row r="108" spans="1:16">
      <c r="B108" s="7" t="str">
        <f t="shared" si="20"/>
        <v/>
      </c>
      <c r="C108" s="50">
        <f>IF(D93="","-",+C107+1)</f>
        <v>2035</v>
      </c>
      <c r="D108" s="12">
        <f>IF(F107+SUM(E$99:E107)=D$92,F107,D$92-SUM(E$99:E107))</f>
        <v>5381768.0600000005</v>
      </c>
      <c r="E108" s="56">
        <f t="shared" si="21"/>
        <v>185578</v>
      </c>
      <c r="F108" s="55">
        <f t="shared" si="22"/>
        <v>5196190.0600000005</v>
      </c>
      <c r="G108" s="55">
        <f t="shared" si="23"/>
        <v>5288979.0600000005</v>
      </c>
      <c r="H108" s="113">
        <f t="shared" si="17"/>
        <v>818251.42252737028</v>
      </c>
      <c r="I108" s="122">
        <f t="shared" si="18"/>
        <v>818251.42252737028</v>
      </c>
      <c r="J108" s="54">
        <f t="shared" si="19"/>
        <v>0</v>
      </c>
      <c r="K108" s="54"/>
      <c r="L108" s="115"/>
      <c r="M108" s="54">
        <f t="shared" si="14"/>
        <v>0</v>
      </c>
      <c r="N108" s="115"/>
      <c r="O108" s="54">
        <f t="shared" si="15"/>
        <v>0</v>
      </c>
      <c r="P108" s="54">
        <f t="shared" si="16"/>
        <v>0</v>
      </c>
    </row>
    <row r="109" spans="1:16">
      <c r="B109" s="7" t="str">
        <f t="shared" si="20"/>
        <v/>
      </c>
      <c r="C109" s="50">
        <f>IF(D93="","-",+C108+1)</f>
        <v>2036</v>
      </c>
      <c r="D109" s="12">
        <f>IF(F108+SUM(E$99:E108)=D$92,F108,D$92-SUM(E$99:E108))</f>
        <v>5196190.0600000005</v>
      </c>
      <c r="E109" s="56">
        <f t="shared" si="21"/>
        <v>185578</v>
      </c>
      <c r="F109" s="55">
        <f t="shared" si="22"/>
        <v>5010612.0600000005</v>
      </c>
      <c r="G109" s="55">
        <f t="shared" si="23"/>
        <v>5103401.0600000005</v>
      </c>
      <c r="H109" s="113">
        <f t="shared" si="17"/>
        <v>796052.38050549012</v>
      </c>
      <c r="I109" s="122">
        <f t="shared" si="18"/>
        <v>796052.38050549012</v>
      </c>
      <c r="J109" s="54">
        <f t="shared" si="19"/>
        <v>0</v>
      </c>
      <c r="K109" s="54"/>
      <c r="L109" s="115"/>
      <c r="M109" s="54">
        <f t="shared" si="14"/>
        <v>0</v>
      </c>
      <c r="N109" s="115"/>
      <c r="O109" s="54">
        <f t="shared" si="15"/>
        <v>0</v>
      </c>
      <c r="P109" s="54">
        <f t="shared" si="16"/>
        <v>0</v>
      </c>
    </row>
    <row r="110" spans="1:16">
      <c r="B110" s="7" t="str">
        <f t="shared" si="20"/>
        <v/>
      </c>
      <c r="C110" s="50">
        <f>IF(D93="","-",+C109+1)</f>
        <v>2037</v>
      </c>
      <c r="D110" s="12">
        <f>IF(F109+SUM(E$99:E109)=D$92,F109,D$92-SUM(E$99:E109))</f>
        <v>5010612.0600000005</v>
      </c>
      <c r="E110" s="56">
        <f t="shared" si="21"/>
        <v>185578</v>
      </c>
      <c r="F110" s="55">
        <f t="shared" si="22"/>
        <v>4825034.0600000005</v>
      </c>
      <c r="G110" s="55">
        <f t="shared" si="23"/>
        <v>4917823.0600000005</v>
      </c>
      <c r="H110" s="113">
        <f t="shared" si="17"/>
        <v>773853.33848360996</v>
      </c>
      <c r="I110" s="122">
        <f t="shared" si="18"/>
        <v>773853.33848360996</v>
      </c>
      <c r="J110" s="54">
        <f t="shared" si="19"/>
        <v>0</v>
      </c>
      <c r="K110" s="54"/>
      <c r="L110" s="115"/>
      <c r="M110" s="54">
        <f t="shared" si="14"/>
        <v>0</v>
      </c>
      <c r="N110" s="115"/>
      <c r="O110" s="54">
        <f t="shared" si="15"/>
        <v>0</v>
      </c>
      <c r="P110" s="54">
        <f t="shared" si="16"/>
        <v>0</v>
      </c>
    </row>
    <row r="111" spans="1:16">
      <c r="B111" s="7" t="str">
        <f t="shared" si="20"/>
        <v/>
      </c>
      <c r="C111" s="50">
        <f>IF(D93="","-",+C110+1)</f>
        <v>2038</v>
      </c>
      <c r="D111" s="12">
        <f>IF(F110+SUM(E$99:E110)=D$92,F110,D$92-SUM(E$99:E110))</f>
        <v>4825034.0600000005</v>
      </c>
      <c r="E111" s="56">
        <f t="shared" si="21"/>
        <v>185578</v>
      </c>
      <c r="F111" s="55">
        <f t="shared" si="22"/>
        <v>4639456.0600000005</v>
      </c>
      <c r="G111" s="55">
        <f t="shared" si="23"/>
        <v>4732245.0600000005</v>
      </c>
      <c r="H111" s="113">
        <f t="shared" si="17"/>
        <v>751654.2964617298</v>
      </c>
      <c r="I111" s="122">
        <f t="shared" si="18"/>
        <v>751654.2964617298</v>
      </c>
      <c r="J111" s="54">
        <f t="shared" si="19"/>
        <v>0</v>
      </c>
      <c r="K111" s="54"/>
      <c r="L111" s="115"/>
      <c r="M111" s="54">
        <f t="shared" si="14"/>
        <v>0</v>
      </c>
      <c r="N111" s="115"/>
      <c r="O111" s="54">
        <f t="shared" si="15"/>
        <v>0</v>
      </c>
      <c r="P111" s="54">
        <f t="shared" si="16"/>
        <v>0</v>
      </c>
    </row>
    <row r="112" spans="1:16">
      <c r="B112" s="7" t="str">
        <f t="shared" si="20"/>
        <v/>
      </c>
      <c r="C112" s="50">
        <f>IF(D93="","-",+C111+1)</f>
        <v>2039</v>
      </c>
      <c r="D112" s="12">
        <f>IF(F111+SUM(E$99:E111)=D$92,F111,D$92-SUM(E$99:E111))</f>
        <v>4639456.0600000005</v>
      </c>
      <c r="E112" s="56">
        <f t="shared" si="21"/>
        <v>185578</v>
      </c>
      <c r="F112" s="55">
        <f t="shared" si="22"/>
        <v>4453878.0600000005</v>
      </c>
      <c r="G112" s="55">
        <f t="shared" si="23"/>
        <v>4546667.0600000005</v>
      </c>
      <c r="H112" s="113">
        <f t="shared" si="17"/>
        <v>729455.25443984964</v>
      </c>
      <c r="I112" s="122">
        <f t="shared" si="18"/>
        <v>729455.25443984964</v>
      </c>
      <c r="J112" s="54">
        <f t="shared" si="19"/>
        <v>0</v>
      </c>
      <c r="K112" s="54"/>
      <c r="L112" s="115"/>
      <c r="M112" s="54">
        <f t="shared" si="14"/>
        <v>0</v>
      </c>
      <c r="N112" s="115"/>
      <c r="O112" s="54">
        <f t="shared" si="15"/>
        <v>0</v>
      </c>
      <c r="P112" s="54">
        <f t="shared" si="16"/>
        <v>0</v>
      </c>
    </row>
    <row r="113" spans="2:16">
      <c r="B113" s="7" t="str">
        <f t="shared" si="20"/>
        <v/>
      </c>
      <c r="C113" s="50">
        <f>IF(D93="","-",+C112+1)</f>
        <v>2040</v>
      </c>
      <c r="D113" s="12">
        <f>IF(F112+SUM(E$99:E112)=D$92,F112,D$92-SUM(E$99:E112))</f>
        <v>4453878.0600000005</v>
      </c>
      <c r="E113" s="56">
        <f t="shared" si="21"/>
        <v>185578</v>
      </c>
      <c r="F113" s="55">
        <f t="shared" si="22"/>
        <v>4268300.0600000005</v>
      </c>
      <c r="G113" s="55">
        <f t="shared" si="23"/>
        <v>4361089.0600000005</v>
      </c>
      <c r="H113" s="113">
        <f t="shared" si="17"/>
        <v>707256.21241796948</v>
      </c>
      <c r="I113" s="122">
        <f t="shared" si="18"/>
        <v>707256.21241796948</v>
      </c>
      <c r="J113" s="54">
        <f t="shared" si="19"/>
        <v>0</v>
      </c>
      <c r="K113" s="54"/>
      <c r="L113" s="115"/>
      <c r="M113" s="54">
        <f t="shared" si="14"/>
        <v>0</v>
      </c>
      <c r="N113" s="115"/>
      <c r="O113" s="54">
        <f t="shared" si="15"/>
        <v>0</v>
      </c>
      <c r="P113" s="54">
        <f t="shared" si="16"/>
        <v>0</v>
      </c>
    </row>
    <row r="114" spans="2:16">
      <c r="B114" s="7" t="str">
        <f t="shared" si="20"/>
        <v/>
      </c>
      <c r="C114" s="50">
        <f>IF(D93="","-",+C113+1)</f>
        <v>2041</v>
      </c>
      <c r="D114" s="12">
        <f>IF(F113+SUM(E$99:E113)=D$92,F113,D$92-SUM(E$99:E113))</f>
        <v>4268300.0600000005</v>
      </c>
      <c r="E114" s="56">
        <f t="shared" si="21"/>
        <v>185578</v>
      </c>
      <c r="F114" s="55">
        <f t="shared" si="22"/>
        <v>4082722.0600000005</v>
      </c>
      <c r="G114" s="55">
        <f t="shared" si="23"/>
        <v>4175511.0600000005</v>
      </c>
      <c r="H114" s="113">
        <f t="shared" si="17"/>
        <v>685057.17039608932</v>
      </c>
      <c r="I114" s="122">
        <f t="shared" si="18"/>
        <v>685057.17039608932</v>
      </c>
      <c r="J114" s="54">
        <f t="shared" si="19"/>
        <v>0</v>
      </c>
      <c r="K114" s="54"/>
      <c r="L114" s="115"/>
      <c r="M114" s="54">
        <f t="shared" si="14"/>
        <v>0</v>
      </c>
      <c r="N114" s="115"/>
      <c r="O114" s="54">
        <f t="shared" si="15"/>
        <v>0</v>
      </c>
      <c r="P114" s="54">
        <f t="shared" si="16"/>
        <v>0</v>
      </c>
    </row>
    <row r="115" spans="2:16">
      <c r="B115" s="7" t="str">
        <f t="shared" si="20"/>
        <v/>
      </c>
      <c r="C115" s="50">
        <f>IF(D93="","-",+C114+1)</f>
        <v>2042</v>
      </c>
      <c r="D115" s="12">
        <f>IF(F114+SUM(E$99:E114)=D$92,F114,D$92-SUM(E$99:E114))</f>
        <v>4082722.0600000005</v>
      </c>
      <c r="E115" s="56">
        <f t="shared" si="21"/>
        <v>185578</v>
      </c>
      <c r="F115" s="55">
        <f t="shared" si="22"/>
        <v>3897144.0600000005</v>
      </c>
      <c r="G115" s="55">
        <f t="shared" si="23"/>
        <v>3989933.0600000005</v>
      </c>
      <c r="H115" s="113">
        <f t="shared" si="17"/>
        <v>662858.12837420905</v>
      </c>
      <c r="I115" s="122">
        <f t="shared" si="18"/>
        <v>662858.12837420905</v>
      </c>
      <c r="J115" s="54">
        <f t="shared" si="19"/>
        <v>0</v>
      </c>
      <c r="K115" s="54"/>
      <c r="L115" s="115"/>
      <c r="M115" s="54">
        <f t="shared" si="14"/>
        <v>0</v>
      </c>
      <c r="N115" s="115"/>
      <c r="O115" s="54">
        <f t="shared" si="15"/>
        <v>0</v>
      </c>
      <c r="P115" s="54">
        <f t="shared" si="16"/>
        <v>0</v>
      </c>
    </row>
    <row r="116" spans="2:16">
      <c r="B116" s="7" t="str">
        <f t="shared" si="20"/>
        <v/>
      </c>
      <c r="C116" s="50">
        <f>IF(D93="","-",+C115+1)</f>
        <v>2043</v>
      </c>
      <c r="D116" s="12">
        <f>IF(F115+SUM(E$99:E115)=D$92,F115,D$92-SUM(E$99:E115))</f>
        <v>3897144.0600000005</v>
      </c>
      <c r="E116" s="56">
        <f t="shared" si="21"/>
        <v>185578</v>
      </c>
      <c r="F116" s="55">
        <f t="shared" si="22"/>
        <v>3711566.0600000005</v>
      </c>
      <c r="G116" s="55">
        <f t="shared" si="23"/>
        <v>3804355.0600000005</v>
      </c>
      <c r="H116" s="113">
        <f t="shared" si="17"/>
        <v>640659.08635232889</v>
      </c>
      <c r="I116" s="122">
        <f t="shared" si="18"/>
        <v>640659.08635232889</v>
      </c>
      <c r="J116" s="54">
        <f t="shared" si="19"/>
        <v>0</v>
      </c>
      <c r="K116" s="54"/>
      <c r="L116" s="115"/>
      <c r="M116" s="54">
        <f t="shared" si="14"/>
        <v>0</v>
      </c>
      <c r="N116" s="115"/>
      <c r="O116" s="54">
        <f t="shared" si="15"/>
        <v>0</v>
      </c>
      <c r="P116" s="54">
        <f t="shared" si="16"/>
        <v>0</v>
      </c>
    </row>
    <row r="117" spans="2:16">
      <c r="B117" s="7" t="str">
        <f t="shared" si="20"/>
        <v/>
      </c>
      <c r="C117" s="50">
        <f>IF(D93="","-",+C116+1)</f>
        <v>2044</v>
      </c>
      <c r="D117" s="12">
        <f>IF(F116+SUM(E$99:E116)=D$92,F116,D$92-SUM(E$99:E116))</f>
        <v>3711566.0600000005</v>
      </c>
      <c r="E117" s="56">
        <f t="shared" si="21"/>
        <v>185578</v>
      </c>
      <c r="F117" s="55">
        <f t="shared" si="22"/>
        <v>3525988.0600000005</v>
      </c>
      <c r="G117" s="55">
        <f t="shared" si="23"/>
        <v>3618777.0600000005</v>
      </c>
      <c r="H117" s="113">
        <f t="shared" si="17"/>
        <v>618460.04433044873</v>
      </c>
      <c r="I117" s="122">
        <f t="shared" si="18"/>
        <v>618460.04433044873</v>
      </c>
      <c r="J117" s="54">
        <f t="shared" si="19"/>
        <v>0</v>
      </c>
      <c r="K117" s="54"/>
      <c r="L117" s="115"/>
      <c r="M117" s="54">
        <f t="shared" si="14"/>
        <v>0</v>
      </c>
      <c r="N117" s="115"/>
      <c r="O117" s="54">
        <f t="shared" si="15"/>
        <v>0</v>
      </c>
      <c r="P117" s="54">
        <f t="shared" si="16"/>
        <v>0</v>
      </c>
    </row>
    <row r="118" spans="2:16">
      <c r="B118" s="7" t="str">
        <f t="shared" si="20"/>
        <v/>
      </c>
      <c r="C118" s="50">
        <f>IF(D93="","-",+C117+1)</f>
        <v>2045</v>
      </c>
      <c r="D118" s="12">
        <f>IF(F117+SUM(E$99:E117)=D$92,F117,D$92-SUM(E$99:E117))</f>
        <v>3525988.0600000005</v>
      </c>
      <c r="E118" s="56">
        <f t="shared" si="21"/>
        <v>185578</v>
      </c>
      <c r="F118" s="55">
        <f t="shared" si="22"/>
        <v>3340410.0600000005</v>
      </c>
      <c r="G118" s="55">
        <f t="shared" si="23"/>
        <v>3433199.0600000005</v>
      </c>
      <c r="H118" s="113">
        <f t="shared" si="17"/>
        <v>596261.00230856857</v>
      </c>
      <c r="I118" s="122">
        <f t="shared" si="18"/>
        <v>596261.00230856857</v>
      </c>
      <c r="J118" s="54">
        <f t="shared" si="19"/>
        <v>0</v>
      </c>
      <c r="K118" s="54"/>
      <c r="L118" s="115"/>
      <c r="M118" s="54">
        <f t="shared" si="14"/>
        <v>0</v>
      </c>
      <c r="N118" s="115"/>
      <c r="O118" s="54">
        <f t="shared" si="15"/>
        <v>0</v>
      </c>
      <c r="P118" s="54">
        <f t="shared" si="16"/>
        <v>0</v>
      </c>
    </row>
    <row r="119" spans="2:16">
      <c r="B119" s="7" t="str">
        <f t="shared" si="20"/>
        <v/>
      </c>
      <c r="C119" s="50">
        <f>IF(D93="","-",+C118+1)</f>
        <v>2046</v>
      </c>
      <c r="D119" s="12">
        <f>IF(F118+SUM(E$99:E118)=D$92,F118,D$92-SUM(E$99:E118))</f>
        <v>3340410.0600000005</v>
      </c>
      <c r="E119" s="56">
        <f t="shared" si="21"/>
        <v>185578</v>
      </c>
      <c r="F119" s="55">
        <f t="shared" si="22"/>
        <v>3154832.0600000005</v>
      </c>
      <c r="G119" s="55">
        <f t="shared" si="23"/>
        <v>3247621.0600000005</v>
      </c>
      <c r="H119" s="113">
        <f t="shared" si="17"/>
        <v>574061.96028668829</v>
      </c>
      <c r="I119" s="122">
        <f t="shared" si="18"/>
        <v>574061.96028668829</v>
      </c>
      <c r="J119" s="54">
        <f t="shared" si="19"/>
        <v>0</v>
      </c>
      <c r="K119" s="54"/>
      <c r="L119" s="115"/>
      <c r="M119" s="54">
        <f t="shared" si="14"/>
        <v>0</v>
      </c>
      <c r="N119" s="115"/>
      <c r="O119" s="54">
        <f t="shared" si="15"/>
        <v>0</v>
      </c>
      <c r="P119" s="54">
        <f t="shared" si="16"/>
        <v>0</v>
      </c>
    </row>
    <row r="120" spans="2:16">
      <c r="B120" s="7" t="str">
        <f t="shared" si="20"/>
        <v/>
      </c>
      <c r="C120" s="50">
        <f>IF(D93="","-",+C119+1)</f>
        <v>2047</v>
      </c>
      <c r="D120" s="12">
        <f>IF(F119+SUM(E$99:E119)=D$92,F119,D$92-SUM(E$99:E119))</f>
        <v>3154832.0600000005</v>
      </c>
      <c r="E120" s="56">
        <f t="shared" si="21"/>
        <v>185578</v>
      </c>
      <c r="F120" s="55">
        <f t="shared" si="22"/>
        <v>2969254.0600000005</v>
      </c>
      <c r="G120" s="55">
        <f t="shared" si="23"/>
        <v>3062043.0600000005</v>
      </c>
      <c r="H120" s="113">
        <f t="shared" si="17"/>
        <v>551862.91826480813</v>
      </c>
      <c r="I120" s="122">
        <f t="shared" si="18"/>
        <v>551862.91826480813</v>
      </c>
      <c r="J120" s="54">
        <f t="shared" si="19"/>
        <v>0</v>
      </c>
      <c r="K120" s="54"/>
      <c r="L120" s="115"/>
      <c r="M120" s="54">
        <f t="shared" si="14"/>
        <v>0</v>
      </c>
      <c r="N120" s="115"/>
      <c r="O120" s="54">
        <f t="shared" si="15"/>
        <v>0</v>
      </c>
      <c r="P120" s="54">
        <f t="shared" si="16"/>
        <v>0</v>
      </c>
    </row>
    <row r="121" spans="2:16">
      <c r="B121" s="7" t="str">
        <f t="shared" si="20"/>
        <v/>
      </c>
      <c r="C121" s="50">
        <f>IF(D93="","-",+C120+1)</f>
        <v>2048</v>
      </c>
      <c r="D121" s="12">
        <f>IF(F120+SUM(E$99:E120)=D$92,F120,D$92-SUM(E$99:E120))</f>
        <v>2969254.0600000005</v>
      </c>
      <c r="E121" s="56">
        <f t="shared" si="21"/>
        <v>185578</v>
      </c>
      <c r="F121" s="55">
        <f t="shared" si="22"/>
        <v>2783676.0600000005</v>
      </c>
      <c r="G121" s="55">
        <f t="shared" si="23"/>
        <v>2876465.0600000005</v>
      </c>
      <c r="H121" s="113">
        <f t="shared" si="17"/>
        <v>529663.87624292797</v>
      </c>
      <c r="I121" s="122">
        <f t="shared" si="18"/>
        <v>529663.87624292797</v>
      </c>
      <c r="J121" s="54">
        <f t="shared" si="19"/>
        <v>0</v>
      </c>
      <c r="K121" s="54"/>
      <c r="L121" s="115"/>
      <c r="M121" s="54">
        <f t="shared" si="14"/>
        <v>0</v>
      </c>
      <c r="N121" s="115"/>
      <c r="O121" s="54">
        <f t="shared" si="15"/>
        <v>0</v>
      </c>
      <c r="P121" s="54">
        <f t="shared" si="16"/>
        <v>0</v>
      </c>
    </row>
    <row r="122" spans="2:16">
      <c r="B122" s="7" t="str">
        <f t="shared" si="20"/>
        <v/>
      </c>
      <c r="C122" s="50">
        <f>IF(D93="","-",+C121+1)</f>
        <v>2049</v>
      </c>
      <c r="D122" s="12">
        <f>IF(F121+SUM(E$99:E121)=D$92,F121,D$92-SUM(E$99:E121))</f>
        <v>2783676.0600000005</v>
      </c>
      <c r="E122" s="56">
        <f t="shared" si="21"/>
        <v>185578</v>
      </c>
      <c r="F122" s="55">
        <f t="shared" si="22"/>
        <v>2598098.0600000005</v>
      </c>
      <c r="G122" s="55">
        <f t="shared" si="23"/>
        <v>2690887.0600000005</v>
      </c>
      <c r="H122" s="113">
        <f t="shared" si="17"/>
        <v>507464.83422104781</v>
      </c>
      <c r="I122" s="122">
        <f t="shared" si="18"/>
        <v>507464.83422104781</v>
      </c>
      <c r="J122" s="54">
        <f t="shared" si="19"/>
        <v>0</v>
      </c>
      <c r="K122" s="54"/>
      <c r="L122" s="115"/>
      <c r="M122" s="54">
        <f t="shared" si="14"/>
        <v>0</v>
      </c>
      <c r="N122" s="115"/>
      <c r="O122" s="54">
        <f t="shared" si="15"/>
        <v>0</v>
      </c>
      <c r="P122" s="54">
        <f t="shared" si="16"/>
        <v>0</v>
      </c>
    </row>
    <row r="123" spans="2:16">
      <c r="B123" s="7" t="str">
        <f t="shared" si="20"/>
        <v/>
      </c>
      <c r="C123" s="50">
        <f>IF(D93="","-",+C122+1)</f>
        <v>2050</v>
      </c>
      <c r="D123" s="12">
        <f>IF(F122+SUM(E$99:E122)=D$92,F122,D$92-SUM(E$99:E122))</f>
        <v>2598098.0600000005</v>
      </c>
      <c r="E123" s="56">
        <f t="shared" si="21"/>
        <v>185578</v>
      </c>
      <c r="F123" s="55">
        <f t="shared" si="22"/>
        <v>2412520.0600000005</v>
      </c>
      <c r="G123" s="55">
        <f t="shared" si="23"/>
        <v>2505309.0600000005</v>
      </c>
      <c r="H123" s="113">
        <f t="shared" si="17"/>
        <v>485265.79219916766</v>
      </c>
      <c r="I123" s="122">
        <f t="shared" si="18"/>
        <v>485265.79219916766</v>
      </c>
      <c r="J123" s="54">
        <f t="shared" si="19"/>
        <v>0</v>
      </c>
      <c r="K123" s="54"/>
      <c r="L123" s="115"/>
      <c r="M123" s="54">
        <f t="shared" si="14"/>
        <v>0</v>
      </c>
      <c r="N123" s="115"/>
      <c r="O123" s="54">
        <f t="shared" si="15"/>
        <v>0</v>
      </c>
      <c r="P123" s="54">
        <f t="shared" si="16"/>
        <v>0</v>
      </c>
    </row>
    <row r="124" spans="2:16">
      <c r="B124" s="7" t="str">
        <f t="shared" si="20"/>
        <v/>
      </c>
      <c r="C124" s="50">
        <f>IF(D93="","-",+C123+1)</f>
        <v>2051</v>
      </c>
      <c r="D124" s="12">
        <f>IF(F123+SUM(E$99:E123)=D$92,F123,D$92-SUM(E$99:E123))</f>
        <v>2412520.0600000005</v>
      </c>
      <c r="E124" s="56">
        <f t="shared" si="21"/>
        <v>185578</v>
      </c>
      <c r="F124" s="55">
        <f t="shared" si="22"/>
        <v>2226942.0600000005</v>
      </c>
      <c r="G124" s="55">
        <f t="shared" si="23"/>
        <v>2319731.0600000005</v>
      </c>
      <c r="H124" s="113">
        <f t="shared" si="17"/>
        <v>463066.7501772875</v>
      </c>
      <c r="I124" s="122">
        <f t="shared" si="18"/>
        <v>463066.7501772875</v>
      </c>
      <c r="J124" s="54">
        <f t="shared" si="19"/>
        <v>0</v>
      </c>
      <c r="K124" s="54"/>
      <c r="L124" s="115"/>
      <c r="M124" s="54">
        <f t="shared" si="14"/>
        <v>0</v>
      </c>
      <c r="N124" s="115"/>
      <c r="O124" s="54">
        <f t="shared" si="15"/>
        <v>0</v>
      </c>
      <c r="P124" s="54">
        <f t="shared" si="16"/>
        <v>0</v>
      </c>
    </row>
    <row r="125" spans="2:16">
      <c r="B125" s="7" t="str">
        <f t="shared" si="20"/>
        <v/>
      </c>
      <c r="C125" s="50">
        <f>IF(D93="","-",+C124+1)</f>
        <v>2052</v>
      </c>
      <c r="D125" s="12">
        <f>IF(F124+SUM(E$99:E124)=D$92,F124,D$92-SUM(E$99:E124))</f>
        <v>2226942.0600000005</v>
      </c>
      <c r="E125" s="56">
        <f t="shared" si="21"/>
        <v>185578</v>
      </c>
      <c r="F125" s="55">
        <f t="shared" si="22"/>
        <v>2041364.0600000005</v>
      </c>
      <c r="G125" s="55">
        <f t="shared" si="23"/>
        <v>2134153.0600000005</v>
      </c>
      <c r="H125" s="113">
        <f t="shared" si="17"/>
        <v>440867.70815540734</v>
      </c>
      <c r="I125" s="122">
        <f t="shared" si="18"/>
        <v>440867.70815540734</v>
      </c>
      <c r="J125" s="54">
        <f t="shared" si="19"/>
        <v>0</v>
      </c>
      <c r="K125" s="54"/>
      <c r="L125" s="115"/>
      <c r="M125" s="54">
        <f t="shared" si="14"/>
        <v>0</v>
      </c>
      <c r="N125" s="115"/>
      <c r="O125" s="54">
        <f t="shared" si="15"/>
        <v>0</v>
      </c>
      <c r="P125" s="54">
        <f t="shared" si="16"/>
        <v>0</v>
      </c>
    </row>
    <row r="126" spans="2:16">
      <c r="B126" s="7" t="str">
        <f t="shared" si="20"/>
        <v/>
      </c>
      <c r="C126" s="50">
        <f>IF(D93="","-",+C125+1)</f>
        <v>2053</v>
      </c>
      <c r="D126" s="12">
        <f>IF(F125+SUM(E$99:E125)=D$92,F125,D$92-SUM(E$99:E125))</f>
        <v>2041364.0600000005</v>
      </c>
      <c r="E126" s="56">
        <f t="shared" si="21"/>
        <v>185578</v>
      </c>
      <c r="F126" s="55">
        <f t="shared" si="22"/>
        <v>1855786.0600000005</v>
      </c>
      <c r="G126" s="55">
        <f t="shared" si="23"/>
        <v>1948575.0600000005</v>
      </c>
      <c r="H126" s="113">
        <f t="shared" si="17"/>
        <v>418668.66613352712</v>
      </c>
      <c r="I126" s="122">
        <f t="shared" si="18"/>
        <v>418668.66613352712</v>
      </c>
      <c r="J126" s="54">
        <f t="shared" si="19"/>
        <v>0</v>
      </c>
      <c r="K126" s="54"/>
      <c r="L126" s="115"/>
      <c r="M126" s="54">
        <f t="shared" si="14"/>
        <v>0</v>
      </c>
      <c r="N126" s="115"/>
      <c r="O126" s="54">
        <f t="shared" si="15"/>
        <v>0</v>
      </c>
      <c r="P126" s="54">
        <f t="shared" si="16"/>
        <v>0</v>
      </c>
    </row>
    <row r="127" spans="2:16">
      <c r="B127" s="7" t="str">
        <f t="shared" si="20"/>
        <v/>
      </c>
      <c r="C127" s="50">
        <f>IF(D93="","-",+C126+1)</f>
        <v>2054</v>
      </c>
      <c r="D127" s="12">
        <f>IF(F126+SUM(E$99:E126)=D$92,F126,D$92-SUM(E$99:E126))</f>
        <v>1855786.0600000005</v>
      </c>
      <c r="E127" s="56">
        <f t="shared" si="21"/>
        <v>185578</v>
      </c>
      <c r="F127" s="55">
        <f t="shared" si="22"/>
        <v>1670208.0600000005</v>
      </c>
      <c r="G127" s="55">
        <f t="shared" si="23"/>
        <v>1762997.0600000005</v>
      </c>
      <c r="H127" s="113">
        <f t="shared" si="17"/>
        <v>396469.62411164696</v>
      </c>
      <c r="I127" s="122">
        <f t="shared" si="18"/>
        <v>396469.62411164696</v>
      </c>
      <c r="J127" s="54">
        <f t="shared" si="19"/>
        <v>0</v>
      </c>
      <c r="K127" s="54"/>
      <c r="L127" s="115"/>
      <c r="M127" s="54">
        <f t="shared" si="14"/>
        <v>0</v>
      </c>
      <c r="N127" s="115"/>
      <c r="O127" s="54">
        <f t="shared" si="15"/>
        <v>0</v>
      </c>
      <c r="P127" s="54">
        <f t="shared" si="16"/>
        <v>0</v>
      </c>
    </row>
    <row r="128" spans="2:16">
      <c r="B128" s="7" t="str">
        <f t="shared" si="20"/>
        <v/>
      </c>
      <c r="C128" s="50">
        <f>IF(D93="","-",+C127+1)</f>
        <v>2055</v>
      </c>
      <c r="D128" s="12">
        <f>IF(F127+SUM(E$99:E127)=D$92,F127,D$92-SUM(E$99:E127))</f>
        <v>1670208.0600000005</v>
      </c>
      <c r="E128" s="56">
        <f t="shared" si="21"/>
        <v>185578</v>
      </c>
      <c r="F128" s="55">
        <f t="shared" si="22"/>
        <v>1484630.0600000005</v>
      </c>
      <c r="G128" s="55">
        <f t="shared" si="23"/>
        <v>1577419.0600000005</v>
      </c>
      <c r="H128" s="113">
        <f t="shared" si="17"/>
        <v>374270.58208976674</v>
      </c>
      <c r="I128" s="122">
        <f t="shared" si="18"/>
        <v>374270.58208976674</v>
      </c>
      <c r="J128" s="54">
        <f t="shared" si="19"/>
        <v>0</v>
      </c>
      <c r="K128" s="54"/>
      <c r="L128" s="115"/>
      <c r="M128" s="54">
        <f t="shared" si="14"/>
        <v>0</v>
      </c>
      <c r="N128" s="115"/>
      <c r="O128" s="54">
        <f t="shared" si="15"/>
        <v>0</v>
      </c>
      <c r="P128" s="54">
        <f t="shared" si="16"/>
        <v>0</v>
      </c>
    </row>
    <row r="129" spans="2:16">
      <c r="B129" s="7" t="str">
        <f t="shared" si="20"/>
        <v/>
      </c>
      <c r="C129" s="50">
        <f>IF(D93="","-",+C128+1)</f>
        <v>2056</v>
      </c>
      <c r="D129" s="12">
        <f>IF(F128+SUM(E$99:E128)=D$92,F128,D$92-SUM(E$99:E128))</f>
        <v>1484630.0600000005</v>
      </c>
      <c r="E129" s="56">
        <f t="shared" si="21"/>
        <v>185578</v>
      </c>
      <c r="F129" s="55">
        <f t="shared" si="22"/>
        <v>1299052.0600000005</v>
      </c>
      <c r="G129" s="55">
        <f t="shared" si="23"/>
        <v>1391841.0600000005</v>
      </c>
      <c r="H129" s="113">
        <f t="shared" si="17"/>
        <v>352071.54006788658</v>
      </c>
      <c r="I129" s="122">
        <f t="shared" si="18"/>
        <v>352071.54006788658</v>
      </c>
      <c r="J129" s="54">
        <f t="shared" si="19"/>
        <v>0</v>
      </c>
      <c r="K129" s="54"/>
      <c r="L129" s="115"/>
      <c r="M129" s="54">
        <f t="shared" si="14"/>
        <v>0</v>
      </c>
      <c r="N129" s="115"/>
      <c r="O129" s="54">
        <f t="shared" si="15"/>
        <v>0</v>
      </c>
      <c r="P129" s="54">
        <f t="shared" si="16"/>
        <v>0</v>
      </c>
    </row>
    <row r="130" spans="2:16">
      <c r="B130" s="7" t="str">
        <f t="shared" si="20"/>
        <v/>
      </c>
      <c r="C130" s="50">
        <f>IF(D93="","-",+C129+1)</f>
        <v>2057</v>
      </c>
      <c r="D130" s="12">
        <f>IF(F129+SUM(E$99:E129)=D$92,F129,D$92-SUM(E$99:E129))</f>
        <v>1299052.0600000005</v>
      </c>
      <c r="E130" s="56">
        <f t="shared" si="21"/>
        <v>185578</v>
      </c>
      <c r="F130" s="55">
        <f t="shared" si="22"/>
        <v>1113474.0600000005</v>
      </c>
      <c r="G130" s="55">
        <f t="shared" si="23"/>
        <v>1206263.0600000005</v>
      </c>
      <c r="H130" s="113">
        <f t="shared" si="17"/>
        <v>329872.49804600643</v>
      </c>
      <c r="I130" s="122">
        <f t="shared" si="18"/>
        <v>329872.49804600643</v>
      </c>
      <c r="J130" s="54">
        <f t="shared" si="19"/>
        <v>0</v>
      </c>
      <c r="K130" s="54"/>
      <c r="L130" s="115"/>
      <c r="M130" s="54">
        <f t="shared" si="14"/>
        <v>0</v>
      </c>
      <c r="N130" s="115"/>
      <c r="O130" s="54">
        <f t="shared" si="15"/>
        <v>0</v>
      </c>
      <c r="P130" s="54">
        <f t="shared" si="16"/>
        <v>0</v>
      </c>
    </row>
    <row r="131" spans="2:16">
      <c r="B131" s="7" t="str">
        <f t="shared" si="20"/>
        <v/>
      </c>
      <c r="C131" s="50">
        <f>IF(D93="","-",+C130+1)</f>
        <v>2058</v>
      </c>
      <c r="D131" s="12">
        <f>IF(F130+SUM(E$99:E130)=D$92,F130,D$92-SUM(E$99:E130))</f>
        <v>1113474.0600000005</v>
      </c>
      <c r="E131" s="56">
        <f t="shared" si="21"/>
        <v>185578</v>
      </c>
      <c r="F131" s="55">
        <f t="shared" si="22"/>
        <v>927896.06000000052</v>
      </c>
      <c r="G131" s="55">
        <f t="shared" si="23"/>
        <v>1020685.0600000005</v>
      </c>
      <c r="H131" s="113">
        <f t="shared" si="17"/>
        <v>307673.45602412627</v>
      </c>
      <c r="I131" s="122">
        <f t="shared" si="18"/>
        <v>307673.45602412627</v>
      </c>
      <c r="J131" s="54">
        <f t="shared" ref="J131:J154" si="24">+I541-H541</f>
        <v>0</v>
      </c>
      <c r="K131" s="54"/>
      <c r="L131" s="115"/>
      <c r="M131" s="54">
        <f t="shared" ref="M131:M154" si="25">IF(L541&lt;&gt;0,+H541-L541,0)</f>
        <v>0</v>
      </c>
      <c r="N131" s="115"/>
      <c r="O131" s="54">
        <f t="shared" ref="O131:O154" si="26">IF(N541&lt;&gt;0,+I541-N541,0)</f>
        <v>0</v>
      </c>
      <c r="P131" s="54">
        <f t="shared" ref="P131:P154" si="27">+O541-M541</f>
        <v>0</v>
      </c>
    </row>
    <row r="132" spans="2:16">
      <c r="B132" s="7" t="str">
        <f t="shared" si="20"/>
        <v/>
      </c>
      <c r="C132" s="50">
        <f>IF(D93="","-",+C131+1)</f>
        <v>2059</v>
      </c>
      <c r="D132" s="12">
        <f>IF(F131+SUM(E$99:E131)=D$92,F131,D$92-SUM(E$99:E131))</f>
        <v>927896.06000000052</v>
      </c>
      <c r="E132" s="56">
        <f t="shared" si="21"/>
        <v>185578</v>
      </c>
      <c r="F132" s="55">
        <f t="shared" si="22"/>
        <v>742318.06000000052</v>
      </c>
      <c r="G132" s="55">
        <f t="shared" si="23"/>
        <v>835107.06000000052</v>
      </c>
      <c r="H132" s="113">
        <f t="shared" si="17"/>
        <v>285474.41400224611</v>
      </c>
      <c r="I132" s="122">
        <f t="shared" si="18"/>
        <v>285474.41400224611</v>
      </c>
      <c r="J132" s="54">
        <f t="shared" si="24"/>
        <v>0</v>
      </c>
      <c r="K132" s="54"/>
      <c r="L132" s="115"/>
      <c r="M132" s="54">
        <f t="shared" si="25"/>
        <v>0</v>
      </c>
      <c r="N132" s="115"/>
      <c r="O132" s="54">
        <f t="shared" si="26"/>
        <v>0</v>
      </c>
      <c r="P132" s="54">
        <f t="shared" si="27"/>
        <v>0</v>
      </c>
    </row>
    <row r="133" spans="2:16">
      <c r="B133" s="7" t="str">
        <f t="shared" si="20"/>
        <v/>
      </c>
      <c r="C133" s="50">
        <f>IF(D93="","-",+C132+1)</f>
        <v>2060</v>
      </c>
      <c r="D133" s="12">
        <f>IF(F132+SUM(E$99:E132)=D$92,F132,D$92-SUM(E$99:E132))</f>
        <v>742318.06000000052</v>
      </c>
      <c r="E133" s="56">
        <f t="shared" si="21"/>
        <v>185578</v>
      </c>
      <c r="F133" s="55">
        <f t="shared" si="22"/>
        <v>556740.06000000052</v>
      </c>
      <c r="G133" s="55">
        <f t="shared" si="23"/>
        <v>649529.06000000052</v>
      </c>
      <c r="H133" s="113">
        <f t="shared" si="17"/>
        <v>263275.37198036589</v>
      </c>
      <c r="I133" s="122">
        <f t="shared" si="18"/>
        <v>263275.37198036589</v>
      </c>
      <c r="J133" s="54">
        <f t="shared" si="24"/>
        <v>0</v>
      </c>
      <c r="K133" s="54"/>
      <c r="L133" s="115"/>
      <c r="M133" s="54">
        <f t="shared" si="25"/>
        <v>0</v>
      </c>
      <c r="N133" s="115"/>
      <c r="O133" s="54">
        <f t="shared" si="26"/>
        <v>0</v>
      </c>
      <c r="P133" s="54">
        <f t="shared" si="27"/>
        <v>0</v>
      </c>
    </row>
    <row r="134" spans="2:16">
      <c r="B134" s="7" t="str">
        <f t="shared" si="20"/>
        <v/>
      </c>
      <c r="C134" s="50">
        <f>IF(D93="","-",+C133+1)</f>
        <v>2061</v>
      </c>
      <c r="D134" s="12">
        <f>IF(F133+SUM(E$99:E133)=D$92,F133,D$92-SUM(E$99:E133))</f>
        <v>556740.06000000052</v>
      </c>
      <c r="E134" s="56">
        <f t="shared" si="21"/>
        <v>185578</v>
      </c>
      <c r="F134" s="55">
        <f t="shared" si="22"/>
        <v>371162.06000000052</v>
      </c>
      <c r="G134" s="55">
        <f t="shared" si="23"/>
        <v>463951.06000000052</v>
      </c>
      <c r="H134" s="113">
        <f t="shared" si="17"/>
        <v>241076.32995848573</v>
      </c>
      <c r="I134" s="122">
        <f t="shared" si="18"/>
        <v>241076.32995848573</v>
      </c>
      <c r="J134" s="54">
        <f t="shared" si="24"/>
        <v>0</v>
      </c>
      <c r="K134" s="54"/>
      <c r="L134" s="115"/>
      <c r="M134" s="54">
        <f t="shared" si="25"/>
        <v>0</v>
      </c>
      <c r="N134" s="115"/>
      <c r="O134" s="54">
        <f t="shared" si="26"/>
        <v>0</v>
      </c>
      <c r="P134" s="54">
        <f t="shared" si="27"/>
        <v>0</v>
      </c>
    </row>
    <row r="135" spans="2:16">
      <c r="B135" s="7" t="str">
        <f t="shared" si="20"/>
        <v/>
      </c>
      <c r="C135" s="50">
        <f>IF(D93="","-",+C134+1)</f>
        <v>2062</v>
      </c>
      <c r="D135" s="12">
        <f>IF(F134+SUM(E$99:E134)=D$92,F134,D$92-SUM(E$99:E134))</f>
        <v>371162.06000000052</v>
      </c>
      <c r="E135" s="56">
        <f t="shared" si="21"/>
        <v>185578</v>
      </c>
      <c r="F135" s="55">
        <f t="shared" si="22"/>
        <v>185584.06000000052</v>
      </c>
      <c r="G135" s="55">
        <f t="shared" si="23"/>
        <v>278373.06000000052</v>
      </c>
      <c r="H135" s="113">
        <f t="shared" si="17"/>
        <v>218877.28793660554</v>
      </c>
      <c r="I135" s="122">
        <f t="shared" si="18"/>
        <v>218877.28793660554</v>
      </c>
      <c r="J135" s="54">
        <f t="shared" si="24"/>
        <v>0</v>
      </c>
      <c r="K135" s="54"/>
      <c r="L135" s="115"/>
      <c r="M135" s="54">
        <f t="shared" si="25"/>
        <v>0</v>
      </c>
      <c r="N135" s="115"/>
      <c r="O135" s="54">
        <f t="shared" si="26"/>
        <v>0</v>
      </c>
      <c r="P135" s="54">
        <f t="shared" si="27"/>
        <v>0</v>
      </c>
    </row>
    <row r="136" spans="2:16">
      <c r="B136" s="7" t="str">
        <f t="shared" si="20"/>
        <v/>
      </c>
      <c r="C136" s="50">
        <f>IF(D93="","-",+C135+1)</f>
        <v>2063</v>
      </c>
      <c r="D136" s="12">
        <f>IF(F135+SUM(E$99:E135)=D$92,F135,D$92-SUM(E$99:E135))</f>
        <v>185584.06000000052</v>
      </c>
      <c r="E136" s="56">
        <f t="shared" si="21"/>
        <v>185578</v>
      </c>
      <c r="F136" s="55">
        <f t="shared" si="22"/>
        <v>6.0600000005215406</v>
      </c>
      <c r="G136" s="55">
        <f t="shared" si="23"/>
        <v>92795.060000000522</v>
      </c>
      <c r="H136" s="113">
        <f t="shared" si="17"/>
        <v>196678.24591472535</v>
      </c>
      <c r="I136" s="122">
        <f t="shared" si="18"/>
        <v>196678.24591472535</v>
      </c>
      <c r="J136" s="54">
        <f t="shared" si="24"/>
        <v>0</v>
      </c>
      <c r="K136" s="54"/>
      <c r="L136" s="115"/>
      <c r="M136" s="54">
        <f t="shared" si="25"/>
        <v>0</v>
      </c>
      <c r="N136" s="115"/>
      <c r="O136" s="54">
        <f t="shared" si="26"/>
        <v>0</v>
      </c>
      <c r="P136" s="54">
        <f t="shared" si="27"/>
        <v>0</v>
      </c>
    </row>
    <row r="137" spans="2:16">
      <c r="B137" s="7" t="str">
        <f t="shared" si="20"/>
        <v/>
      </c>
      <c r="C137" s="50">
        <f>IF(D93="","-",+C136+1)</f>
        <v>2064</v>
      </c>
      <c r="D137" s="12">
        <f>IF(F136+SUM(E$99:E136)=D$92,F136,D$92-SUM(E$99:E136))</f>
        <v>6.0600000005215406</v>
      </c>
      <c r="E137" s="56">
        <f t="shared" si="21"/>
        <v>6.0600000005215406</v>
      </c>
      <c r="F137" s="55">
        <f t="shared" si="22"/>
        <v>0</v>
      </c>
      <c r="G137" s="55">
        <f t="shared" si="23"/>
        <v>3.0300000002607703</v>
      </c>
      <c r="H137" s="113">
        <f t="shared" si="17"/>
        <v>6.4224518931601384</v>
      </c>
      <c r="I137" s="122">
        <f t="shared" si="18"/>
        <v>6.4224518931601384</v>
      </c>
      <c r="J137" s="54">
        <f t="shared" si="24"/>
        <v>0</v>
      </c>
      <c r="K137" s="54"/>
      <c r="L137" s="115"/>
      <c r="M137" s="54">
        <f t="shared" si="25"/>
        <v>0</v>
      </c>
      <c r="N137" s="115"/>
      <c r="O137" s="54">
        <f t="shared" si="26"/>
        <v>0</v>
      </c>
      <c r="P137" s="54">
        <f t="shared" si="27"/>
        <v>0</v>
      </c>
    </row>
    <row r="138" spans="2:16">
      <c r="B138" s="7" t="str">
        <f t="shared" si="20"/>
        <v/>
      </c>
      <c r="C138" s="50">
        <f>IF(D93="","-",+C137+1)</f>
        <v>2065</v>
      </c>
      <c r="D138" s="12">
        <f>IF(F137+SUM(E$99:E137)=D$92,F137,D$92-SUM(E$99:E137))</f>
        <v>0</v>
      </c>
      <c r="E138" s="56">
        <f t="shared" si="21"/>
        <v>0</v>
      </c>
      <c r="F138" s="55">
        <f t="shared" si="22"/>
        <v>0</v>
      </c>
      <c r="G138" s="55">
        <f t="shared" si="23"/>
        <v>0</v>
      </c>
      <c r="H138" s="113">
        <f t="shared" si="17"/>
        <v>0</v>
      </c>
      <c r="I138" s="122">
        <f t="shared" si="18"/>
        <v>0</v>
      </c>
      <c r="J138" s="54">
        <f t="shared" si="24"/>
        <v>0</v>
      </c>
      <c r="K138" s="54"/>
      <c r="L138" s="115"/>
      <c r="M138" s="54">
        <f t="shared" si="25"/>
        <v>0</v>
      </c>
      <c r="N138" s="115"/>
      <c r="O138" s="54">
        <f t="shared" si="26"/>
        <v>0</v>
      </c>
      <c r="P138" s="54">
        <f t="shared" si="27"/>
        <v>0</v>
      </c>
    </row>
    <row r="139" spans="2:16">
      <c r="B139" s="7" t="str">
        <f t="shared" si="20"/>
        <v/>
      </c>
      <c r="C139" s="50">
        <f>IF(D93="","-",+C138+1)</f>
        <v>2066</v>
      </c>
      <c r="D139" s="12">
        <f>IF(F138+SUM(E$99:E138)=D$92,F138,D$92-SUM(E$99:E138))</f>
        <v>0</v>
      </c>
      <c r="E139" s="56">
        <f t="shared" si="21"/>
        <v>0</v>
      </c>
      <c r="F139" s="55">
        <f t="shared" si="22"/>
        <v>0</v>
      </c>
      <c r="G139" s="55">
        <f t="shared" si="23"/>
        <v>0</v>
      </c>
      <c r="H139" s="113">
        <f t="shared" si="17"/>
        <v>0</v>
      </c>
      <c r="I139" s="122">
        <f t="shared" si="18"/>
        <v>0</v>
      </c>
      <c r="J139" s="54">
        <f t="shared" si="24"/>
        <v>0</v>
      </c>
      <c r="K139" s="54"/>
      <c r="L139" s="115"/>
      <c r="M139" s="54">
        <f t="shared" si="25"/>
        <v>0</v>
      </c>
      <c r="N139" s="115"/>
      <c r="O139" s="54">
        <f t="shared" si="26"/>
        <v>0</v>
      </c>
      <c r="P139" s="54">
        <f t="shared" si="27"/>
        <v>0</v>
      </c>
    </row>
    <row r="140" spans="2:16">
      <c r="B140" s="7" t="str">
        <f t="shared" si="20"/>
        <v/>
      </c>
      <c r="C140" s="50">
        <f>IF(D93="","-",+C139+1)</f>
        <v>2067</v>
      </c>
      <c r="D140" s="12">
        <f>IF(F139+SUM(E$99:E139)=D$92,F139,D$92-SUM(E$99:E139))</f>
        <v>0</v>
      </c>
      <c r="E140" s="56">
        <f t="shared" si="21"/>
        <v>0</v>
      </c>
      <c r="F140" s="55">
        <f t="shared" si="22"/>
        <v>0</v>
      </c>
      <c r="G140" s="55">
        <f t="shared" si="23"/>
        <v>0</v>
      </c>
      <c r="H140" s="113">
        <f t="shared" si="17"/>
        <v>0</v>
      </c>
      <c r="I140" s="122">
        <f t="shared" si="18"/>
        <v>0</v>
      </c>
      <c r="J140" s="54">
        <f t="shared" si="24"/>
        <v>0</v>
      </c>
      <c r="K140" s="54"/>
      <c r="L140" s="115"/>
      <c r="M140" s="54">
        <f t="shared" si="25"/>
        <v>0</v>
      </c>
      <c r="N140" s="115"/>
      <c r="O140" s="54">
        <f t="shared" si="26"/>
        <v>0</v>
      </c>
      <c r="P140" s="54">
        <f t="shared" si="27"/>
        <v>0</v>
      </c>
    </row>
    <row r="141" spans="2:16">
      <c r="B141" s="7" t="str">
        <f t="shared" si="20"/>
        <v/>
      </c>
      <c r="C141" s="50">
        <f>IF(D93="","-",+C140+1)</f>
        <v>2068</v>
      </c>
      <c r="D141" s="12">
        <f>IF(F140+SUM(E$99:E140)=D$92,F140,D$92-SUM(E$99:E140))</f>
        <v>0</v>
      </c>
      <c r="E141" s="56">
        <f t="shared" si="21"/>
        <v>0</v>
      </c>
      <c r="F141" s="55">
        <f t="shared" si="22"/>
        <v>0</v>
      </c>
      <c r="G141" s="55">
        <f t="shared" si="23"/>
        <v>0</v>
      </c>
      <c r="H141" s="113">
        <f t="shared" si="17"/>
        <v>0</v>
      </c>
      <c r="I141" s="122">
        <f t="shared" si="18"/>
        <v>0</v>
      </c>
      <c r="J141" s="54">
        <f t="shared" si="24"/>
        <v>0</v>
      </c>
      <c r="K141" s="54"/>
      <c r="L141" s="115"/>
      <c r="M141" s="54">
        <f t="shared" si="25"/>
        <v>0</v>
      </c>
      <c r="N141" s="115"/>
      <c r="O141" s="54">
        <f t="shared" si="26"/>
        <v>0</v>
      </c>
      <c r="P141" s="54">
        <f t="shared" si="27"/>
        <v>0</v>
      </c>
    </row>
    <row r="142" spans="2:16">
      <c r="B142" s="7" t="str">
        <f t="shared" si="20"/>
        <v/>
      </c>
      <c r="C142" s="50">
        <f>IF(D93="","-",+C141+1)</f>
        <v>2069</v>
      </c>
      <c r="D142" s="12">
        <f>IF(F141+SUM(E$99:E141)=D$92,F141,D$92-SUM(E$99:E141))</f>
        <v>0</v>
      </c>
      <c r="E142" s="56">
        <f t="shared" si="21"/>
        <v>0</v>
      </c>
      <c r="F142" s="55">
        <f t="shared" si="22"/>
        <v>0</v>
      </c>
      <c r="G142" s="55">
        <f t="shared" si="23"/>
        <v>0</v>
      </c>
      <c r="H142" s="113">
        <f t="shared" si="17"/>
        <v>0</v>
      </c>
      <c r="I142" s="122">
        <f t="shared" si="18"/>
        <v>0</v>
      </c>
      <c r="J142" s="54">
        <f t="shared" si="24"/>
        <v>0</v>
      </c>
      <c r="K142" s="54"/>
      <c r="L142" s="115"/>
      <c r="M142" s="54">
        <f t="shared" si="25"/>
        <v>0</v>
      </c>
      <c r="N142" s="115"/>
      <c r="O142" s="54">
        <f t="shared" si="26"/>
        <v>0</v>
      </c>
      <c r="P142" s="54">
        <f t="shared" si="27"/>
        <v>0</v>
      </c>
    </row>
    <row r="143" spans="2:16">
      <c r="B143" s="7" t="str">
        <f t="shared" si="20"/>
        <v/>
      </c>
      <c r="C143" s="50">
        <f>IF(D93="","-",+C142+1)</f>
        <v>2070</v>
      </c>
      <c r="D143" s="12">
        <f>IF(F142+SUM(E$99:E142)=D$92,F142,D$92-SUM(E$99:E142))</f>
        <v>0</v>
      </c>
      <c r="E143" s="56">
        <f t="shared" si="21"/>
        <v>0</v>
      </c>
      <c r="F143" s="55">
        <f t="shared" si="22"/>
        <v>0</v>
      </c>
      <c r="G143" s="55">
        <f t="shared" si="23"/>
        <v>0</v>
      </c>
      <c r="H143" s="113">
        <f t="shared" si="17"/>
        <v>0</v>
      </c>
      <c r="I143" s="122">
        <f t="shared" si="18"/>
        <v>0</v>
      </c>
      <c r="J143" s="54">
        <f t="shared" si="24"/>
        <v>0</v>
      </c>
      <c r="K143" s="54"/>
      <c r="L143" s="115"/>
      <c r="M143" s="54">
        <f t="shared" si="25"/>
        <v>0</v>
      </c>
      <c r="N143" s="115"/>
      <c r="O143" s="54">
        <f t="shared" si="26"/>
        <v>0</v>
      </c>
      <c r="P143" s="54">
        <f t="shared" si="27"/>
        <v>0</v>
      </c>
    </row>
    <row r="144" spans="2:16">
      <c r="B144" s="7" t="str">
        <f t="shared" si="20"/>
        <v/>
      </c>
      <c r="C144" s="50">
        <f>IF(D93="","-",+C143+1)</f>
        <v>2071</v>
      </c>
      <c r="D144" s="12">
        <f>IF(F143+SUM(E$99:E143)=D$92,F143,D$92-SUM(E$99:E143))</f>
        <v>0</v>
      </c>
      <c r="E144" s="56">
        <f t="shared" si="21"/>
        <v>0</v>
      </c>
      <c r="F144" s="55">
        <f t="shared" si="22"/>
        <v>0</v>
      </c>
      <c r="G144" s="55">
        <f t="shared" si="23"/>
        <v>0</v>
      </c>
      <c r="H144" s="113">
        <f t="shared" si="17"/>
        <v>0</v>
      </c>
      <c r="I144" s="122">
        <f t="shared" si="18"/>
        <v>0</v>
      </c>
      <c r="J144" s="54">
        <f t="shared" si="24"/>
        <v>0</v>
      </c>
      <c r="K144" s="54"/>
      <c r="L144" s="115"/>
      <c r="M144" s="54">
        <f t="shared" si="25"/>
        <v>0</v>
      </c>
      <c r="N144" s="115"/>
      <c r="O144" s="54">
        <f t="shared" si="26"/>
        <v>0</v>
      </c>
      <c r="P144" s="54">
        <f t="shared" si="27"/>
        <v>0</v>
      </c>
    </row>
    <row r="145" spans="2:16">
      <c r="B145" s="7" t="str">
        <f t="shared" si="20"/>
        <v/>
      </c>
      <c r="C145" s="50">
        <f>IF(D93="","-",+C144+1)</f>
        <v>2072</v>
      </c>
      <c r="D145" s="12">
        <f>IF(F144+SUM(E$99:E144)=D$92,F144,D$92-SUM(E$99:E144))</f>
        <v>0</v>
      </c>
      <c r="E145" s="56">
        <f t="shared" si="21"/>
        <v>0</v>
      </c>
      <c r="F145" s="55">
        <f t="shared" si="22"/>
        <v>0</v>
      </c>
      <c r="G145" s="55">
        <f t="shared" si="23"/>
        <v>0</v>
      </c>
      <c r="H145" s="113">
        <f t="shared" si="17"/>
        <v>0</v>
      </c>
      <c r="I145" s="122">
        <f t="shared" si="18"/>
        <v>0</v>
      </c>
      <c r="J145" s="54">
        <f t="shared" si="24"/>
        <v>0</v>
      </c>
      <c r="K145" s="54"/>
      <c r="L145" s="115"/>
      <c r="M145" s="54">
        <f t="shared" si="25"/>
        <v>0</v>
      </c>
      <c r="N145" s="115"/>
      <c r="O145" s="54">
        <f t="shared" si="26"/>
        <v>0</v>
      </c>
      <c r="P145" s="54">
        <f t="shared" si="27"/>
        <v>0</v>
      </c>
    </row>
    <row r="146" spans="2:16">
      <c r="B146" s="7" t="str">
        <f t="shared" si="20"/>
        <v/>
      </c>
      <c r="C146" s="50">
        <f>IF(D93="","-",+C145+1)</f>
        <v>2073</v>
      </c>
      <c r="D146" s="12">
        <f>IF(F145+SUM(E$99:E145)=D$92,F145,D$92-SUM(E$99:E145))</f>
        <v>0</v>
      </c>
      <c r="E146" s="56">
        <f t="shared" si="21"/>
        <v>0</v>
      </c>
      <c r="F146" s="55">
        <f t="shared" si="22"/>
        <v>0</v>
      </c>
      <c r="G146" s="55">
        <f t="shared" si="23"/>
        <v>0</v>
      </c>
      <c r="H146" s="113">
        <f t="shared" si="17"/>
        <v>0</v>
      </c>
      <c r="I146" s="122">
        <f t="shared" si="18"/>
        <v>0</v>
      </c>
      <c r="J146" s="54">
        <f t="shared" si="24"/>
        <v>0</v>
      </c>
      <c r="K146" s="54"/>
      <c r="L146" s="115"/>
      <c r="M146" s="54">
        <f t="shared" si="25"/>
        <v>0</v>
      </c>
      <c r="N146" s="115"/>
      <c r="O146" s="54">
        <f t="shared" si="26"/>
        <v>0</v>
      </c>
      <c r="P146" s="54">
        <f t="shared" si="27"/>
        <v>0</v>
      </c>
    </row>
    <row r="147" spans="2:16">
      <c r="B147" s="7" t="str">
        <f t="shared" si="20"/>
        <v/>
      </c>
      <c r="C147" s="50">
        <f>IF(D93="","-",+C146+1)</f>
        <v>2074</v>
      </c>
      <c r="D147" s="12">
        <f>IF(F146+SUM(E$99:E146)=D$92,F146,D$92-SUM(E$99:E146))</f>
        <v>0</v>
      </c>
      <c r="E147" s="56">
        <f t="shared" si="21"/>
        <v>0</v>
      </c>
      <c r="F147" s="55">
        <f t="shared" si="22"/>
        <v>0</v>
      </c>
      <c r="G147" s="55">
        <f t="shared" si="23"/>
        <v>0</v>
      </c>
      <c r="H147" s="113">
        <f t="shared" si="17"/>
        <v>0</v>
      </c>
      <c r="I147" s="122">
        <f t="shared" si="18"/>
        <v>0</v>
      </c>
      <c r="J147" s="54">
        <f t="shared" si="24"/>
        <v>0</v>
      </c>
      <c r="K147" s="54"/>
      <c r="L147" s="115"/>
      <c r="M147" s="54">
        <f t="shared" si="25"/>
        <v>0</v>
      </c>
      <c r="N147" s="115"/>
      <c r="O147" s="54">
        <f t="shared" si="26"/>
        <v>0</v>
      </c>
      <c r="P147" s="54">
        <f t="shared" si="27"/>
        <v>0</v>
      </c>
    </row>
    <row r="148" spans="2:16">
      <c r="B148" s="7" t="str">
        <f t="shared" si="20"/>
        <v/>
      </c>
      <c r="C148" s="50">
        <f>IF(D93="","-",+C147+1)</f>
        <v>2075</v>
      </c>
      <c r="D148" s="12">
        <f>IF(F147+SUM(E$99:E147)=D$92,F147,D$92-SUM(E$99:E147))</f>
        <v>0</v>
      </c>
      <c r="E148" s="56">
        <f t="shared" si="21"/>
        <v>0</v>
      </c>
      <c r="F148" s="55">
        <f t="shared" si="22"/>
        <v>0</v>
      </c>
      <c r="G148" s="55">
        <f t="shared" si="23"/>
        <v>0</v>
      </c>
      <c r="H148" s="113">
        <f t="shared" si="17"/>
        <v>0</v>
      </c>
      <c r="I148" s="122">
        <f t="shared" si="18"/>
        <v>0</v>
      </c>
      <c r="J148" s="54">
        <f t="shared" si="24"/>
        <v>0</v>
      </c>
      <c r="K148" s="54"/>
      <c r="L148" s="115"/>
      <c r="M148" s="54">
        <f t="shared" si="25"/>
        <v>0</v>
      </c>
      <c r="N148" s="115"/>
      <c r="O148" s="54">
        <f t="shared" si="26"/>
        <v>0</v>
      </c>
      <c r="P148" s="54">
        <f t="shared" si="27"/>
        <v>0</v>
      </c>
    </row>
    <row r="149" spans="2:16">
      <c r="B149" s="7" t="str">
        <f t="shared" si="20"/>
        <v/>
      </c>
      <c r="C149" s="50">
        <f>IF(D93="","-",+C148+1)</f>
        <v>2076</v>
      </c>
      <c r="D149" s="12">
        <f>IF(F148+SUM(E$99:E148)=D$92,F148,D$92-SUM(E$99:E148))</f>
        <v>0</v>
      </c>
      <c r="E149" s="56">
        <f t="shared" si="21"/>
        <v>0</v>
      </c>
      <c r="F149" s="55">
        <f t="shared" si="22"/>
        <v>0</v>
      </c>
      <c r="G149" s="55">
        <f t="shared" si="23"/>
        <v>0</v>
      </c>
      <c r="H149" s="113">
        <f t="shared" si="17"/>
        <v>0</v>
      </c>
      <c r="I149" s="122">
        <f t="shared" si="18"/>
        <v>0</v>
      </c>
      <c r="J149" s="54">
        <f t="shared" si="24"/>
        <v>0</v>
      </c>
      <c r="K149" s="54"/>
      <c r="L149" s="115"/>
      <c r="M149" s="54">
        <f t="shared" si="25"/>
        <v>0</v>
      </c>
      <c r="N149" s="115"/>
      <c r="O149" s="54">
        <f t="shared" si="26"/>
        <v>0</v>
      </c>
      <c r="P149" s="54">
        <f t="shared" si="27"/>
        <v>0</v>
      </c>
    </row>
    <row r="150" spans="2:16">
      <c r="B150" s="7" t="str">
        <f t="shared" si="20"/>
        <v/>
      </c>
      <c r="C150" s="50">
        <f>IF(D93="","-",+C149+1)</f>
        <v>2077</v>
      </c>
      <c r="D150" s="12">
        <f>IF(F149+SUM(E$99:E149)=D$92,F149,D$92-SUM(E$99:E149))</f>
        <v>0</v>
      </c>
      <c r="E150" s="56">
        <f t="shared" si="21"/>
        <v>0</v>
      </c>
      <c r="F150" s="55">
        <f t="shared" si="22"/>
        <v>0</v>
      </c>
      <c r="G150" s="55">
        <f t="shared" si="23"/>
        <v>0</v>
      </c>
      <c r="H150" s="113">
        <f t="shared" si="17"/>
        <v>0</v>
      </c>
      <c r="I150" s="122">
        <f t="shared" si="18"/>
        <v>0</v>
      </c>
      <c r="J150" s="54">
        <f t="shared" si="24"/>
        <v>0</v>
      </c>
      <c r="K150" s="54"/>
      <c r="L150" s="115"/>
      <c r="M150" s="54">
        <f t="shared" si="25"/>
        <v>0</v>
      </c>
      <c r="N150" s="115"/>
      <c r="O150" s="54">
        <f t="shared" si="26"/>
        <v>0</v>
      </c>
      <c r="P150" s="54">
        <f t="shared" si="27"/>
        <v>0</v>
      </c>
    </row>
    <row r="151" spans="2:16">
      <c r="B151" s="7" t="str">
        <f t="shared" si="20"/>
        <v/>
      </c>
      <c r="C151" s="50">
        <f>IF(D93="","-",+C150+1)</f>
        <v>2078</v>
      </c>
      <c r="D151" s="12">
        <f>IF(F150+SUM(E$99:E150)=D$92,F150,D$92-SUM(E$99:E150))</f>
        <v>0</v>
      </c>
      <c r="E151" s="56">
        <f t="shared" si="21"/>
        <v>0</v>
      </c>
      <c r="F151" s="55">
        <f t="shared" si="22"/>
        <v>0</v>
      </c>
      <c r="G151" s="55">
        <f t="shared" si="23"/>
        <v>0</v>
      </c>
      <c r="H151" s="113">
        <f t="shared" si="17"/>
        <v>0</v>
      </c>
      <c r="I151" s="122">
        <f t="shared" si="18"/>
        <v>0</v>
      </c>
      <c r="J151" s="54">
        <f t="shared" si="24"/>
        <v>0</v>
      </c>
      <c r="K151" s="54"/>
      <c r="L151" s="115"/>
      <c r="M151" s="54">
        <f t="shared" si="25"/>
        <v>0</v>
      </c>
      <c r="N151" s="115"/>
      <c r="O151" s="54">
        <f t="shared" si="26"/>
        <v>0</v>
      </c>
      <c r="P151" s="54">
        <f t="shared" si="27"/>
        <v>0</v>
      </c>
    </row>
    <row r="152" spans="2:16">
      <c r="B152" s="7" t="str">
        <f t="shared" si="20"/>
        <v/>
      </c>
      <c r="C152" s="50">
        <f>IF(D93="","-",+C151+1)</f>
        <v>2079</v>
      </c>
      <c r="D152" s="12">
        <f>IF(F151+SUM(E$99:E151)=D$92,F151,D$92-SUM(E$99:E151))</f>
        <v>0</v>
      </c>
      <c r="E152" s="56">
        <f t="shared" si="21"/>
        <v>0</v>
      </c>
      <c r="F152" s="55">
        <f t="shared" si="22"/>
        <v>0</v>
      </c>
      <c r="G152" s="55">
        <f t="shared" si="23"/>
        <v>0</v>
      </c>
      <c r="H152" s="113">
        <f t="shared" si="17"/>
        <v>0</v>
      </c>
      <c r="I152" s="122">
        <f t="shared" si="18"/>
        <v>0</v>
      </c>
      <c r="J152" s="54">
        <f t="shared" si="24"/>
        <v>0</v>
      </c>
      <c r="K152" s="54"/>
      <c r="L152" s="115"/>
      <c r="M152" s="54">
        <f t="shared" si="25"/>
        <v>0</v>
      </c>
      <c r="N152" s="115"/>
      <c r="O152" s="54">
        <f t="shared" si="26"/>
        <v>0</v>
      </c>
      <c r="P152" s="54">
        <f t="shared" si="27"/>
        <v>0</v>
      </c>
    </row>
    <row r="153" spans="2:16">
      <c r="B153" s="7" t="str">
        <f t="shared" si="20"/>
        <v/>
      </c>
      <c r="C153" s="50">
        <f>IF(D93="","-",+C152+1)</f>
        <v>2080</v>
      </c>
      <c r="D153" s="12">
        <f>IF(F152+SUM(E$99:E152)=D$92,F152,D$92-SUM(E$99:E152))</f>
        <v>0</v>
      </c>
      <c r="E153" s="56">
        <f t="shared" si="21"/>
        <v>0</v>
      </c>
      <c r="F153" s="55">
        <f t="shared" si="22"/>
        <v>0</v>
      </c>
      <c r="G153" s="55">
        <f t="shared" si="23"/>
        <v>0</v>
      </c>
      <c r="H153" s="113">
        <f t="shared" si="17"/>
        <v>0</v>
      </c>
      <c r="I153" s="122">
        <f t="shared" si="18"/>
        <v>0</v>
      </c>
      <c r="J153" s="54">
        <f t="shared" si="24"/>
        <v>0</v>
      </c>
      <c r="K153" s="54"/>
      <c r="L153" s="115"/>
      <c r="M153" s="54">
        <f t="shared" si="25"/>
        <v>0</v>
      </c>
      <c r="N153" s="115"/>
      <c r="O153" s="54">
        <f t="shared" si="26"/>
        <v>0</v>
      </c>
      <c r="P153" s="54">
        <f t="shared" si="27"/>
        <v>0</v>
      </c>
    </row>
    <row r="154" spans="2:16" ht="13.5" thickBot="1">
      <c r="B154" s="7" t="str">
        <f t="shared" si="20"/>
        <v/>
      </c>
      <c r="C154" s="58">
        <f>IF(D93="","-",+C153+1)</f>
        <v>2081</v>
      </c>
      <c r="D154" s="82">
        <f>IF(F153+SUM(E$99:E153)=D$92,F153,D$92-SUM(E$99:E153))</f>
        <v>0</v>
      </c>
      <c r="E154" s="60">
        <f t="shared" si="21"/>
        <v>0</v>
      </c>
      <c r="F154" s="59">
        <f t="shared" si="22"/>
        <v>0</v>
      </c>
      <c r="G154" s="59">
        <f t="shared" si="23"/>
        <v>0</v>
      </c>
      <c r="H154" s="123">
        <f t="shared" si="17"/>
        <v>0</v>
      </c>
      <c r="I154" s="124">
        <f t="shared" si="18"/>
        <v>0</v>
      </c>
      <c r="J154" s="62">
        <f t="shared" si="24"/>
        <v>0</v>
      </c>
      <c r="K154" s="54"/>
      <c r="L154" s="116"/>
      <c r="M154" s="62">
        <f t="shared" si="25"/>
        <v>0</v>
      </c>
      <c r="N154" s="116"/>
      <c r="O154" s="62">
        <f t="shared" si="26"/>
        <v>0</v>
      </c>
      <c r="P154" s="62">
        <f t="shared" si="27"/>
        <v>0</v>
      </c>
    </row>
    <row r="155" spans="2:16">
      <c r="C155" s="12" t="s">
        <v>77</v>
      </c>
      <c r="D155" s="14"/>
      <c r="E155" s="14">
        <f>SUM(E99:E154)</f>
        <v>6866392.0600000005</v>
      </c>
      <c r="F155" s="14"/>
      <c r="G155" s="14"/>
      <c r="H155" s="14">
        <f>SUM(H99:H154)</f>
        <v>22219734.465994649</v>
      </c>
      <c r="I155" s="14">
        <f>SUM(I99:I154)</f>
        <v>22219734.465994649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P162"/>
  <sheetViews>
    <sheetView topLeftCell="A65"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1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6"/>
      <c r="K3" s="202"/>
      <c r="L3" s="202"/>
      <c r="M3" s="202"/>
      <c r="N3" s="202"/>
      <c r="O3" s="1" t="str">
        <f>RIGHT(N3,3)</f>
        <v/>
      </c>
      <c r="P3" s="324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88732.900451199646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88732.900451199646</v>
      </c>
      <c r="O6" s="1"/>
      <c r="P6" s="1"/>
    </row>
    <row r="7" spans="1:16" ht="13.5" thickBot="1">
      <c r="C7" s="26" t="s">
        <v>46</v>
      </c>
      <c r="D7" s="331" t="s">
        <v>209</v>
      </c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521" t="s">
        <v>49</v>
      </c>
      <c r="E9" s="32" t="s">
        <v>373</v>
      </c>
      <c r="F9" s="512">
        <v>220</v>
      </c>
      <c r="G9" s="32"/>
      <c r="H9" s="32"/>
      <c r="I9" s="33"/>
      <c r="J9" s="34"/>
      <c r="P9" s="1"/>
    </row>
    <row r="10" spans="1:16">
      <c r="C10" s="128" t="s">
        <v>226</v>
      </c>
      <c r="D10" s="335">
        <v>893858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2009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IF(D10=0,0,ROUND(D10/D13,0))</f>
        <v>23523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C17" s="50">
        <f>IF(D11= "","-",D11)</f>
        <v>2009</v>
      </c>
      <c r="D17" s="348">
        <v>579098</v>
      </c>
      <c r="E17" s="349">
        <v>5463</v>
      </c>
      <c r="F17" s="348">
        <v>573635</v>
      </c>
      <c r="G17" s="349">
        <v>56729</v>
      </c>
      <c r="H17" s="349">
        <v>56729</v>
      </c>
      <c r="I17" s="52">
        <f t="shared" ref="I17:I48" si="0">H17-G17</f>
        <v>0</v>
      </c>
      <c r="J17" s="52"/>
      <c r="K17" s="350">
        <v>56729</v>
      </c>
      <c r="L17" s="53">
        <f t="shared" ref="L17:L48" si="1">IF(K17&lt;&gt;0,+G17-K17,0)</f>
        <v>0</v>
      </c>
      <c r="M17" s="350">
        <v>56729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2010</v>
      </c>
      <c r="D18" s="351">
        <v>888395</v>
      </c>
      <c r="E18" s="352">
        <v>15962</v>
      </c>
      <c r="F18" s="351">
        <v>872433</v>
      </c>
      <c r="G18" s="352">
        <v>141851</v>
      </c>
      <c r="H18" s="353">
        <v>141851</v>
      </c>
      <c r="I18" s="52">
        <f t="shared" si="0"/>
        <v>0</v>
      </c>
      <c r="J18" s="52"/>
      <c r="K18" s="350">
        <f t="shared" ref="K18:K23" si="4">G18</f>
        <v>141851</v>
      </c>
      <c r="L18" s="54">
        <f t="shared" si="1"/>
        <v>0</v>
      </c>
      <c r="M18" s="350">
        <f t="shared" ref="M18:M23" si="5">H18</f>
        <v>141851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/>
      </c>
      <c r="C19" s="50">
        <f>IF(D11="","-",+C18+1)</f>
        <v>2011</v>
      </c>
      <c r="D19" s="351">
        <v>872433</v>
      </c>
      <c r="E19" s="352">
        <v>17527</v>
      </c>
      <c r="F19" s="351">
        <v>854906</v>
      </c>
      <c r="G19" s="352">
        <v>151356.84230707804</v>
      </c>
      <c r="H19" s="353">
        <v>151356.84230707804</v>
      </c>
      <c r="I19" s="52">
        <f t="shared" si="0"/>
        <v>0</v>
      </c>
      <c r="J19" s="52"/>
      <c r="K19" s="350">
        <f t="shared" si="4"/>
        <v>151356.84230707804</v>
      </c>
      <c r="L19" s="54">
        <f t="shared" si="1"/>
        <v>0</v>
      </c>
      <c r="M19" s="350">
        <f t="shared" si="5"/>
        <v>151356.84230707804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2012</v>
      </c>
      <c r="D20" s="351">
        <v>854906</v>
      </c>
      <c r="E20" s="352">
        <v>17190</v>
      </c>
      <c r="F20" s="351">
        <v>837716</v>
      </c>
      <c r="G20" s="352">
        <v>133805.70830730975</v>
      </c>
      <c r="H20" s="353">
        <v>133805.70830730975</v>
      </c>
      <c r="I20" s="52">
        <f t="shared" si="0"/>
        <v>0</v>
      </c>
      <c r="J20" s="52"/>
      <c r="K20" s="350">
        <f t="shared" si="4"/>
        <v>133805.70830730975</v>
      </c>
      <c r="L20" s="54">
        <f t="shared" si="1"/>
        <v>0</v>
      </c>
      <c r="M20" s="350">
        <f t="shared" si="5"/>
        <v>133805.70830730975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2013</v>
      </c>
      <c r="D21" s="351">
        <v>837716</v>
      </c>
      <c r="E21" s="352">
        <v>17190</v>
      </c>
      <c r="F21" s="351">
        <v>820526</v>
      </c>
      <c r="G21" s="352">
        <v>134366.65985215519</v>
      </c>
      <c r="H21" s="353">
        <v>134366.65985215519</v>
      </c>
      <c r="I21" s="52">
        <v>0</v>
      </c>
      <c r="J21" s="52"/>
      <c r="K21" s="350">
        <f t="shared" si="4"/>
        <v>134366.65985215519</v>
      </c>
      <c r="L21" s="54">
        <f t="shared" ref="L21:L26" si="7">IF(K21&lt;&gt;0,+G21-K21,0)</f>
        <v>0</v>
      </c>
      <c r="M21" s="350">
        <f t="shared" si="5"/>
        <v>134366.65985215519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>
      <c r="B22" s="7" t="str">
        <f t="shared" si="6"/>
        <v/>
      </c>
      <c r="C22" s="50">
        <f>IF(D11="","-",+C21+1)</f>
        <v>2014</v>
      </c>
      <c r="D22" s="351">
        <v>820526</v>
      </c>
      <c r="E22" s="352">
        <v>17190</v>
      </c>
      <c r="F22" s="351">
        <v>803336</v>
      </c>
      <c r="G22" s="352">
        <v>127776.24380165605</v>
      </c>
      <c r="H22" s="353">
        <v>127776.24380165605</v>
      </c>
      <c r="I22" s="52">
        <v>0</v>
      </c>
      <c r="J22" s="52"/>
      <c r="K22" s="350">
        <f t="shared" si="4"/>
        <v>127776.24380165605</v>
      </c>
      <c r="L22" s="54">
        <f t="shared" si="7"/>
        <v>0</v>
      </c>
      <c r="M22" s="350">
        <f t="shared" si="5"/>
        <v>127776.24380165605</v>
      </c>
      <c r="N22" s="54">
        <f t="shared" si="8"/>
        <v>0</v>
      </c>
      <c r="O22" s="54">
        <f t="shared" si="9"/>
        <v>0</v>
      </c>
      <c r="P22" s="1"/>
    </row>
    <row r="23" spans="2:16">
      <c r="B23" s="7" t="str">
        <f t="shared" si="6"/>
        <v/>
      </c>
      <c r="C23" s="50">
        <f>IF(D11="","-",+C22+1)</f>
        <v>2015</v>
      </c>
      <c r="D23" s="351">
        <v>803336</v>
      </c>
      <c r="E23" s="352">
        <v>17190</v>
      </c>
      <c r="F23" s="351">
        <v>786146</v>
      </c>
      <c r="G23" s="352">
        <v>125577.25148028173</v>
      </c>
      <c r="H23" s="353">
        <v>125577.25148028173</v>
      </c>
      <c r="I23" s="52">
        <v>0</v>
      </c>
      <c r="J23" s="52"/>
      <c r="K23" s="350">
        <f t="shared" si="4"/>
        <v>125577.25148028173</v>
      </c>
      <c r="L23" s="54">
        <f t="shared" si="7"/>
        <v>0</v>
      </c>
      <c r="M23" s="350">
        <f t="shared" si="5"/>
        <v>125577.25148028173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2016</v>
      </c>
      <c r="D24" s="351">
        <v>786146</v>
      </c>
      <c r="E24" s="352">
        <v>17190</v>
      </c>
      <c r="F24" s="351">
        <v>768956</v>
      </c>
      <c r="G24" s="352">
        <v>118045.98754263212</v>
      </c>
      <c r="H24" s="353">
        <v>118045.98754263212</v>
      </c>
      <c r="I24" s="52">
        <f t="shared" si="0"/>
        <v>0</v>
      </c>
      <c r="J24" s="52"/>
      <c r="K24" s="350">
        <f t="shared" ref="K24:K29" si="10">G24</f>
        <v>118045.98754263212</v>
      </c>
      <c r="L24" s="54">
        <f t="shared" si="7"/>
        <v>0</v>
      </c>
      <c r="M24" s="350">
        <f t="shared" ref="M24:M29" si="11">H24</f>
        <v>118045.98754263212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2017</v>
      </c>
      <c r="D25" s="351">
        <v>768956</v>
      </c>
      <c r="E25" s="352">
        <v>19432</v>
      </c>
      <c r="F25" s="351">
        <v>749524</v>
      </c>
      <c r="G25" s="352">
        <v>114816.91495996526</v>
      </c>
      <c r="H25" s="353">
        <v>114816.91495996526</v>
      </c>
      <c r="I25" s="52">
        <f t="shared" si="0"/>
        <v>0</v>
      </c>
      <c r="J25" s="52"/>
      <c r="K25" s="350">
        <f t="shared" si="10"/>
        <v>114816.91495996526</v>
      </c>
      <c r="L25" s="54">
        <f t="shared" si="7"/>
        <v>0</v>
      </c>
      <c r="M25" s="350">
        <f t="shared" si="11"/>
        <v>114816.91495996526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2018</v>
      </c>
      <c r="D26" s="351">
        <v>749524</v>
      </c>
      <c r="E26" s="352">
        <v>19864</v>
      </c>
      <c r="F26" s="351">
        <v>729660</v>
      </c>
      <c r="G26" s="352">
        <v>108436.75447594153</v>
      </c>
      <c r="H26" s="353">
        <v>108436.75447594153</v>
      </c>
      <c r="I26" s="52">
        <f t="shared" si="0"/>
        <v>0</v>
      </c>
      <c r="J26" s="52"/>
      <c r="K26" s="350">
        <f t="shared" si="10"/>
        <v>108436.75447594153</v>
      </c>
      <c r="L26" s="54">
        <f t="shared" si="7"/>
        <v>0</v>
      </c>
      <c r="M26" s="350">
        <f t="shared" si="11"/>
        <v>108436.75447594153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2019</v>
      </c>
      <c r="D27" s="351">
        <v>729660</v>
      </c>
      <c r="E27" s="352">
        <v>22346</v>
      </c>
      <c r="F27" s="351">
        <v>707314</v>
      </c>
      <c r="G27" s="352">
        <v>102569.83805108386</v>
      </c>
      <c r="H27" s="353">
        <v>102569.83805108386</v>
      </c>
      <c r="I27" s="52">
        <f t="shared" si="0"/>
        <v>0</v>
      </c>
      <c r="J27" s="52"/>
      <c r="K27" s="350">
        <f t="shared" si="10"/>
        <v>102569.83805108386</v>
      </c>
      <c r="L27" s="54">
        <f t="shared" ref="L27" si="12">IF(K27&lt;&gt;0,+G27-K27,0)</f>
        <v>0</v>
      </c>
      <c r="M27" s="350">
        <f t="shared" si="11"/>
        <v>102569.83805108386</v>
      </c>
      <c r="N27" s="54">
        <f t="shared" ref="N27" si="13">IF(M27&lt;&gt;0,+H27-M27,0)</f>
        <v>0</v>
      </c>
      <c r="O27" s="54">
        <f t="shared" ref="O27" si="14">+N27-L27</f>
        <v>0</v>
      </c>
      <c r="P27" s="1"/>
    </row>
    <row r="28" spans="2:16">
      <c r="B28" s="7" t="str">
        <f t="shared" si="6"/>
        <v>IU</v>
      </c>
      <c r="C28" s="50">
        <f>IF(D11="","-",+C27+1)</f>
        <v>2020</v>
      </c>
      <c r="D28" s="351">
        <v>709796</v>
      </c>
      <c r="E28" s="352">
        <v>21282</v>
      </c>
      <c r="F28" s="351">
        <v>688514</v>
      </c>
      <c r="G28" s="352">
        <v>96794.079800478314</v>
      </c>
      <c r="H28" s="353">
        <v>96794.079800478314</v>
      </c>
      <c r="I28" s="52">
        <f t="shared" si="0"/>
        <v>0</v>
      </c>
      <c r="J28" s="52"/>
      <c r="K28" s="350">
        <f t="shared" si="10"/>
        <v>96794.079800478314</v>
      </c>
      <c r="L28" s="54">
        <f t="shared" ref="L28" si="15">IF(K28&lt;&gt;0,+G28-K28,0)</f>
        <v>0</v>
      </c>
      <c r="M28" s="350">
        <f t="shared" si="11"/>
        <v>96794.079800478314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>IU</v>
      </c>
      <c r="C29" s="50">
        <f>IF(D11="","-",+C28+1)</f>
        <v>2021</v>
      </c>
      <c r="D29" s="351">
        <v>686032</v>
      </c>
      <c r="E29" s="352">
        <v>20787</v>
      </c>
      <c r="F29" s="351">
        <v>665245</v>
      </c>
      <c r="G29" s="352">
        <v>92514.814817027102</v>
      </c>
      <c r="H29" s="353">
        <v>92514.814817027102</v>
      </c>
      <c r="I29" s="52">
        <f t="shared" si="0"/>
        <v>0</v>
      </c>
      <c r="J29" s="52"/>
      <c r="K29" s="350">
        <f t="shared" si="10"/>
        <v>92514.814817027102</v>
      </c>
      <c r="L29" s="54">
        <f t="shared" ref="L29" si="16">IF(K29&lt;&gt;0,+G29-K29,0)</f>
        <v>0</v>
      </c>
      <c r="M29" s="350">
        <f t="shared" si="11"/>
        <v>92514.814817027102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/>
      </c>
      <c r="C30" s="50">
        <f>IF(D11="","-",+C29+1)</f>
        <v>2022</v>
      </c>
      <c r="D30" s="351">
        <v>665245</v>
      </c>
      <c r="E30" s="352">
        <v>21282</v>
      </c>
      <c r="F30" s="351">
        <v>643963</v>
      </c>
      <c r="G30" s="352">
        <v>90708.453283775307</v>
      </c>
      <c r="H30" s="353">
        <v>90708.453283775307</v>
      </c>
      <c r="I30" s="52">
        <f t="shared" si="0"/>
        <v>0</v>
      </c>
      <c r="J30" s="52"/>
      <c r="K30" s="350">
        <f t="shared" ref="K30" si="17">G30</f>
        <v>90708.453283775307</v>
      </c>
      <c r="L30" s="54">
        <f t="shared" ref="L30" si="18">IF(K30&lt;&gt;0,+G30-K30,0)</f>
        <v>0</v>
      </c>
      <c r="M30" s="350">
        <f t="shared" ref="M30" si="19">H30</f>
        <v>90708.453283775307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/>
      </c>
      <c r="C31" s="50">
        <f>IF(D11="","-",+C30+1)</f>
        <v>2023</v>
      </c>
      <c r="D31" s="351">
        <v>643963</v>
      </c>
      <c r="E31" s="352">
        <v>22919</v>
      </c>
      <c r="F31" s="351">
        <v>621044</v>
      </c>
      <c r="G31" s="352">
        <v>97046.160151699252</v>
      </c>
      <c r="H31" s="353">
        <v>97046.160151699252</v>
      </c>
      <c r="I31" s="52">
        <f t="shared" si="0"/>
        <v>0</v>
      </c>
      <c r="J31" s="52"/>
      <c r="K31" s="350">
        <f t="shared" ref="K31" si="20">G31</f>
        <v>97046.160151699252</v>
      </c>
      <c r="L31" s="54">
        <f t="shared" ref="L31" si="21">IF(K31&lt;&gt;0,+G31-K31,0)</f>
        <v>0</v>
      </c>
      <c r="M31" s="350">
        <f t="shared" ref="M31" si="22">H31</f>
        <v>97046.160151699252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2024</v>
      </c>
      <c r="D32" s="351">
        <v>621044</v>
      </c>
      <c r="E32" s="352">
        <v>23523</v>
      </c>
      <c r="F32" s="351">
        <v>597521</v>
      </c>
      <c r="G32" s="352">
        <v>91485.150622743604</v>
      </c>
      <c r="H32" s="353">
        <v>91485.150622743604</v>
      </c>
      <c r="I32" s="52">
        <f t="shared" si="0"/>
        <v>0</v>
      </c>
      <c r="J32" s="52"/>
      <c r="K32" s="350">
        <f t="shared" ref="K32" si="23">G32</f>
        <v>91485.150622743604</v>
      </c>
      <c r="L32" s="54">
        <f t="shared" ref="L32" si="24">IF(K32&lt;&gt;0,+G32-K32,0)</f>
        <v>0</v>
      </c>
      <c r="M32" s="350">
        <f t="shared" ref="M32" si="25">H32</f>
        <v>91485.150622743604</v>
      </c>
      <c r="N32" s="54">
        <f t="shared" ref="N32" si="26">IF(M32&lt;&gt;0,+H32-M32,0)</f>
        <v>0</v>
      </c>
      <c r="O32" s="54">
        <f t="shared" ref="O32" si="27">+N32-L32</f>
        <v>0</v>
      </c>
      <c r="P32" s="1"/>
    </row>
    <row r="33" spans="2:16">
      <c r="B33" s="7" t="str">
        <f t="shared" si="6"/>
        <v/>
      </c>
      <c r="C33" s="50">
        <f>IF(D11="","-",+C32+1)</f>
        <v>2025</v>
      </c>
      <c r="D33" s="351">
        <v>597521</v>
      </c>
      <c r="E33" s="352">
        <v>23523</v>
      </c>
      <c r="F33" s="351">
        <v>573998</v>
      </c>
      <c r="G33" s="352">
        <v>88732.900451199646</v>
      </c>
      <c r="H33" s="353">
        <v>88732.900451199646</v>
      </c>
      <c r="I33" s="52">
        <f t="shared" si="0"/>
        <v>0</v>
      </c>
      <c r="J33" s="52"/>
      <c r="K33" s="350">
        <f t="shared" ref="K33" si="28">G33</f>
        <v>88732.900451199646</v>
      </c>
      <c r="L33" s="54">
        <f t="shared" ref="L33" si="29">IF(K33&lt;&gt;0,+G33-K33,0)</f>
        <v>0</v>
      </c>
      <c r="M33" s="350">
        <f t="shared" ref="M33" si="30">H33</f>
        <v>88732.900451199646</v>
      </c>
      <c r="N33" s="54">
        <f t="shared" ref="N33" si="31">IF(M33&lt;&gt;0,+H33-M33,0)</f>
        <v>0</v>
      </c>
      <c r="O33" s="54">
        <f t="shared" ref="O33" si="32">+N33-L33</f>
        <v>0</v>
      </c>
      <c r="P33" s="1"/>
    </row>
    <row r="34" spans="2:16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573998</v>
      </c>
      <c r="E34" s="354">
        <f>IF(+I14&lt;F33,I14,D34)</f>
        <v>23523</v>
      </c>
      <c r="F34" s="55">
        <f t="shared" ref="F34:F48" si="33">+D34-E34</f>
        <v>550475</v>
      </c>
      <c r="G34" s="355">
        <f t="shared" ref="G34:G72" si="34">(D34+F34)/2*I$12+E34</f>
        <v>87396.71766980183</v>
      </c>
      <c r="H34" s="336">
        <f t="shared" ref="H34:H72" si="35">+(D34+F34)/2*I$13+E34</f>
        <v>87396.71766980183</v>
      </c>
      <c r="I34" s="52">
        <f t="shared" si="0"/>
        <v>0</v>
      </c>
      <c r="J34" s="52"/>
      <c r="K34" s="115"/>
      <c r="L34" s="54">
        <f t="shared" si="1"/>
        <v>0</v>
      </c>
      <c r="M34" s="115"/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550475</v>
      </c>
      <c r="E35" s="354">
        <f>IF(+I14&lt;F34,I14,D35)</f>
        <v>23523</v>
      </c>
      <c r="F35" s="55">
        <f t="shared" si="33"/>
        <v>526952</v>
      </c>
      <c r="G35" s="355">
        <f t="shared" si="34"/>
        <v>84724.352107006198</v>
      </c>
      <c r="H35" s="336">
        <f t="shared" si="35"/>
        <v>84724.352107006198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526952</v>
      </c>
      <c r="E36" s="354">
        <f>IF(+I14&lt;F35,I14,D36)</f>
        <v>23523</v>
      </c>
      <c r="F36" s="55">
        <f t="shared" si="33"/>
        <v>503429</v>
      </c>
      <c r="G36" s="355">
        <f t="shared" si="34"/>
        <v>82051.986544210551</v>
      </c>
      <c r="H36" s="336">
        <f t="shared" si="35"/>
        <v>82051.986544210551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503429</v>
      </c>
      <c r="E37" s="354">
        <f>IF(+I14&lt;F36,I14,D37)</f>
        <v>23523</v>
      </c>
      <c r="F37" s="55">
        <f t="shared" si="33"/>
        <v>479906</v>
      </c>
      <c r="G37" s="355">
        <f t="shared" si="34"/>
        <v>79379.620981414919</v>
      </c>
      <c r="H37" s="336">
        <f t="shared" si="35"/>
        <v>79379.620981414919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479906</v>
      </c>
      <c r="E38" s="354">
        <f>IF(+I14&lt;F37,I14,D38)</f>
        <v>23523</v>
      </c>
      <c r="F38" s="55">
        <f t="shared" si="33"/>
        <v>456383</v>
      </c>
      <c r="G38" s="355">
        <f t="shared" si="34"/>
        <v>76707.255418619287</v>
      </c>
      <c r="H38" s="336">
        <f t="shared" si="35"/>
        <v>76707.255418619287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456383</v>
      </c>
      <c r="E39" s="354">
        <f>IF(+I14&lt;F38,I14,D39)</f>
        <v>23523</v>
      </c>
      <c r="F39" s="55">
        <f t="shared" si="33"/>
        <v>432860</v>
      </c>
      <c r="G39" s="355">
        <f t="shared" si="34"/>
        <v>74034.889855823654</v>
      </c>
      <c r="H39" s="336">
        <f t="shared" si="35"/>
        <v>74034.889855823654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432860</v>
      </c>
      <c r="E40" s="354">
        <f>IF(+I14&lt;F39,I14,D40)</f>
        <v>23523</v>
      </c>
      <c r="F40" s="55">
        <f t="shared" si="33"/>
        <v>409337</v>
      </c>
      <c r="G40" s="355">
        <f t="shared" si="34"/>
        <v>71362.524293028022</v>
      </c>
      <c r="H40" s="336">
        <f t="shared" si="35"/>
        <v>71362.524293028022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409337</v>
      </c>
      <c r="E41" s="354">
        <f>IF(+I14&lt;F40,I14,D41)</f>
        <v>23523</v>
      </c>
      <c r="F41" s="55">
        <f t="shared" si="33"/>
        <v>385814</v>
      </c>
      <c r="G41" s="355">
        <f t="shared" si="34"/>
        <v>68690.15873023239</v>
      </c>
      <c r="H41" s="336">
        <f t="shared" si="35"/>
        <v>68690.15873023239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385814</v>
      </c>
      <c r="E42" s="354">
        <f>IF(+I14&lt;F41,I14,D42)</f>
        <v>23523</v>
      </c>
      <c r="F42" s="55">
        <f t="shared" si="33"/>
        <v>362291</v>
      </c>
      <c r="G42" s="355">
        <f t="shared" si="34"/>
        <v>66017.793167436757</v>
      </c>
      <c r="H42" s="336">
        <f t="shared" si="35"/>
        <v>66017.793167436757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362291</v>
      </c>
      <c r="E43" s="354">
        <f>IF(+I14&lt;F42,I14,D43)</f>
        <v>23523</v>
      </c>
      <c r="F43" s="55">
        <f t="shared" si="33"/>
        <v>338768</v>
      </c>
      <c r="G43" s="355">
        <f t="shared" si="34"/>
        <v>63345.427604641111</v>
      </c>
      <c r="H43" s="336">
        <f t="shared" si="35"/>
        <v>63345.427604641111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338768</v>
      </c>
      <c r="E44" s="354">
        <f>IF(+I14&lt;F43,I14,D44)</f>
        <v>23523</v>
      </c>
      <c r="F44" s="55">
        <f t="shared" si="33"/>
        <v>315245</v>
      </c>
      <c r="G44" s="355">
        <f t="shared" si="34"/>
        <v>60673.062041845478</v>
      </c>
      <c r="H44" s="336">
        <f t="shared" si="35"/>
        <v>60673.062041845478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315245</v>
      </c>
      <c r="E45" s="354">
        <f>IF(+I14&lt;F44,I14,D45)</f>
        <v>23523</v>
      </c>
      <c r="F45" s="55">
        <f t="shared" si="33"/>
        <v>291722</v>
      </c>
      <c r="G45" s="355">
        <f t="shared" si="34"/>
        <v>58000.696479049839</v>
      </c>
      <c r="H45" s="336">
        <f t="shared" si="35"/>
        <v>58000.696479049839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291722</v>
      </c>
      <c r="E46" s="354">
        <f>IF(+I14&lt;F45,I14,D46)</f>
        <v>23523</v>
      </c>
      <c r="F46" s="55">
        <f t="shared" si="33"/>
        <v>268199</v>
      </c>
      <c r="G46" s="355">
        <f t="shared" si="34"/>
        <v>55328.330916254199</v>
      </c>
      <c r="H46" s="336">
        <f t="shared" si="35"/>
        <v>55328.330916254199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268199</v>
      </c>
      <c r="E47" s="354">
        <f>IF(+I14&lt;F46,I14,D47)</f>
        <v>23523</v>
      </c>
      <c r="F47" s="55">
        <f t="shared" si="33"/>
        <v>244676</v>
      </c>
      <c r="G47" s="355">
        <f t="shared" si="34"/>
        <v>52655.965353458567</v>
      </c>
      <c r="H47" s="336">
        <f t="shared" si="35"/>
        <v>52655.965353458567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244676</v>
      </c>
      <c r="E48" s="354">
        <f>IF(+I14&lt;F47,I14,D48)</f>
        <v>23523</v>
      </c>
      <c r="F48" s="55">
        <f t="shared" si="33"/>
        <v>221153</v>
      </c>
      <c r="G48" s="355">
        <f t="shared" si="34"/>
        <v>49983.599790662935</v>
      </c>
      <c r="H48" s="336">
        <f t="shared" si="35"/>
        <v>49983.599790662935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221153</v>
      </c>
      <c r="E49" s="354">
        <f>IF(+I14&lt;F48,I14,D49)</f>
        <v>23523</v>
      </c>
      <c r="F49" s="55">
        <f t="shared" ref="F49:F72" si="36">+D49-E49</f>
        <v>197630</v>
      </c>
      <c r="G49" s="355">
        <f t="shared" si="34"/>
        <v>47311.234227867295</v>
      </c>
      <c r="H49" s="336">
        <f t="shared" si="35"/>
        <v>47311.234227867295</v>
      </c>
      <c r="I49" s="52">
        <f t="shared" ref="I49:I72" si="37">H49-G49</f>
        <v>0</v>
      </c>
      <c r="J49" s="52"/>
      <c r="K49" s="115"/>
      <c r="L49" s="54">
        <f t="shared" ref="L49:L72" si="38">IF(K49&lt;&gt;0,+G49-K49,0)</f>
        <v>0</v>
      </c>
      <c r="M49" s="115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6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197630</v>
      </c>
      <c r="E50" s="354">
        <f>IF(+I14&lt;F49,I14,D50)</f>
        <v>23523</v>
      </c>
      <c r="F50" s="55">
        <f t="shared" si="36"/>
        <v>174107</v>
      </c>
      <c r="G50" s="355">
        <f t="shared" si="34"/>
        <v>44638.868665071655</v>
      </c>
      <c r="H50" s="336">
        <f t="shared" si="35"/>
        <v>44638.868665071655</v>
      </c>
      <c r="I50" s="52">
        <f t="shared" si="37"/>
        <v>0</v>
      </c>
      <c r="J50" s="52"/>
      <c r="K50" s="115"/>
      <c r="L50" s="54">
        <f t="shared" si="38"/>
        <v>0</v>
      </c>
      <c r="M50" s="115"/>
      <c r="N50" s="54">
        <f t="shared" si="39"/>
        <v>0</v>
      </c>
      <c r="O50" s="54">
        <f t="shared" si="40"/>
        <v>0</v>
      </c>
      <c r="P50" s="1"/>
    </row>
    <row r="51" spans="2:16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174107</v>
      </c>
      <c r="E51" s="354">
        <f>IF(+I14&lt;F50,I14,D51)</f>
        <v>23523</v>
      </c>
      <c r="F51" s="55">
        <f t="shared" si="36"/>
        <v>150584</v>
      </c>
      <c r="G51" s="355">
        <f t="shared" si="34"/>
        <v>41966.503102276023</v>
      </c>
      <c r="H51" s="336">
        <f t="shared" si="35"/>
        <v>41966.503102276023</v>
      </c>
      <c r="I51" s="52">
        <f t="shared" si="37"/>
        <v>0</v>
      </c>
      <c r="J51" s="52"/>
      <c r="K51" s="115"/>
      <c r="L51" s="54">
        <f t="shared" si="38"/>
        <v>0</v>
      </c>
      <c r="M51" s="115"/>
      <c r="N51" s="54">
        <f t="shared" si="39"/>
        <v>0</v>
      </c>
      <c r="O51" s="54">
        <f t="shared" si="40"/>
        <v>0</v>
      </c>
      <c r="P51" s="1"/>
    </row>
    <row r="52" spans="2:16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150584</v>
      </c>
      <c r="E52" s="354">
        <f>IF(+I14&lt;F51,I14,D52)</f>
        <v>23523</v>
      </c>
      <c r="F52" s="55">
        <f t="shared" si="36"/>
        <v>127061</v>
      </c>
      <c r="G52" s="355">
        <f t="shared" si="34"/>
        <v>39294.137539480391</v>
      </c>
      <c r="H52" s="336">
        <f t="shared" si="35"/>
        <v>39294.137539480391</v>
      </c>
      <c r="I52" s="52">
        <f t="shared" si="37"/>
        <v>0</v>
      </c>
      <c r="J52" s="52"/>
      <c r="K52" s="115"/>
      <c r="L52" s="54">
        <f t="shared" si="38"/>
        <v>0</v>
      </c>
      <c r="M52" s="115"/>
      <c r="N52" s="54">
        <f t="shared" si="39"/>
        <v>0</v>
      </c>
      <c r="O52" s="54">
        <f t="shared" si="40"/>
        <v>0</v>
      </c>
      <c r="P52" s="1"/>
    </row>
    <row r="53" spans="2:16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127061</v>
      </c>
      <c r="E53" s="354">
        <f>IF(+I14&lt;F52,I14,D53)</f>
        <v>23523</v>
      </c>
      <c r="F53" s="55">
        <f t="shared" si="36"/>
        <v>103538</v>
      </c>
      <c r="G53" s="355">
        <f t="shared" si="34"/>
        <v>36621.771976684751</v>
      </c>
      <c r="H53" s="336">
        <f t="shared" si="35"/>
        <v>36621.771976684751</v>
      </c>
      <c r="I53" s="52">
        <f t="shared" si="37"/>
        <v>0</v>
      </c>
      <c r="J53" s="52"/>
      <c r="K53" s="115"/>
      <c r="L53" s="54">
        <f t="shared" si="38"/>
        <v>0</v>
      </c>
      <c r="M53" s="115"/>
      <c r="N53" s="54">
        <f t="shared" si="39"/>
        <v>0</v>
      </c>
      <c r="O53" s="54">
        <f t="shared" si="40"/>
        <v>0</v>
      </c>
      <c r="P53" s="1"/>
    </row>
    <row r="54" spans="2:16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103538</v>
      </c>
      <c r="E54" s="354">
        <f>IF(+I14&lt;F53,I14,D54)</f>
        <v>23523</v>
      </c>
      <c r="F54" s="55">
        <f t="shared" si="36"/>
        <v>80015</v>
      </c>
      <c r="G54" s="355">
        <f t="shared" si="34"/>
        <v>33949.406413889112</v>
      </c>
      <c r="H54" s="336">
        <f t="shared" si="35"/>
        <v>33949.406413889112</v>
      </c>
      <c r="I54" s="52">
        <f t="shared" si="37"/>
        <v>0</v>
      </c>
      <c r="J54" s="52"/>
      <c r="K54" s="115"/>
      <c r="L54" s="54">
        <f t="shared" si="38"/>
        <v>0</v>
      </c>
      <c r="M54" s="115"/>
      <c r="N54" s="54">
        <f t="shared" si="39"/>
        <v>0</v>
      </c>
      <c r="O54" s="54">
        <f t="shared" si="40"/>
        <v>0</v>
      </c>
      <c r="P54" s="1"/>
    </row>
    <row r="55" spans="2:16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80015</v>
      </c>
      <c r="E55" s="354">
        <f>IF(+I14&lt;F54,I14,D55)</f>
        <v>23523</v>
      </c>
      <c r="F55" s="55">
        <f t="shared" si="36"/>
        <v>56492</v>
      </c>
      <c r="G55" s="355">
        <f t="shared" si="34"/>
        <v>31277.040851093479</v>
      </c>
      <c r="H55" s="336">
        <f t="shared" si="35"/>
        <v>31277.040851093479</v>
      </c>
      <c r="I55" s="52">
        <f t="shared" si="37"/>
        <v>0</v>
      </c>
      <c r="J55" s="52"/>
      <c r="K55" s="115"/>
      <c r="L55" s="54">
        <f t="shared" si="38"/>
        <v>0</v>
      </c>
      <c r="M55" s="115"/>
      <c r="N55" s="54">
        <f t="shared" si="39"/>
        <v>0</v>
      </c>
      <c r="O55" s="54">
        <f t="shared" si="40"/>
        <v>0</v>
      </c>
      <c r="P55" s="1"/>
    </row>
    <row r="56" spans="2:16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56492</v>
      </c>
      <c r="E56" s="354">
        <f>IF(+I14&lt;F55,I14,D56)</f>
        <v>23523</v>
      </c>
      <c r="F56" s="55">
        <f t="shared" si="36"/>
        <v>32969</v>
      </c>
      <c r="G56" s="355">
        <f t="shared" si="34"/>
        <v>28604.675288297844</v>
      </c>
      <c r="H56" s="336">
        <f t="shared" si="35"/>
        <v>28604.675288297844</v>
      </c>
      <c r="I56" s="52">
        <f t="shared" si="37"/>
        <v>0</v>
      </c>
      <c r="J56" s="52"/>
      <c r="K56" s="115"/>
      <c r="L56" s="54">
        <f t="shared" si="38"/>
        <v>0</v>
      </c>
      <c r="M56" s="115"/>
      <c r="N56" s="54">
        <f t="shared" si="39"/>
        <v>0</v>
      </c>
      <c r="O56" s="54">
        <f t="shared" si="40"/>
        <v>0</v>
      </c>
      <c r="P56" s="1"/>
    </row>
    <row r="57" spans="2:16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32969</v>
      </c>
      <c r="E57" s="354">
        <f>IF(+I14&lt;F56,I14,D57)</f>
        <v>23523</v>
      </c>
      <c r="F57" s="55">
        <f t="shared" si="36"/>
        <v>9446</v>
      </c>
      <c r="G57" s="355">
        <f t="shared" si="34"/>
        <v>25932.309725502208</v>
      </c>
      <c r="H57" s="336">
        <f t="shared" si="35"/>
        <v>25932.309725502208</v>
      </c>
      <c r="I57" s="52">
        <f t="shared" si="37"/>
        <v>0</v>
      </c>
      <c r="J57" s="52"/>
      <c r="K57" s="115"/>
      <c r="L57" s="54">
        <f t="shared" si="38"/>
        <v>0</v>
      </c>
      <c r="M57" s="115"/>
      <c r="N57" s="54">
        <f t="shared" si="39"/>
        <v>0</v>
      </c>
      <c r="O57" s="54">
        <f t="shared" si="40"/>
        <v>0</v>
      </c>
      <c r="P57" s="1"/>
    </row>
    <row r="58" spans="2:16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9446</v>
      </c>
      <c r="E58" s="354">
        <f>IF(+I14&lt;F57,I14,D58)</f>
        <v>9446</v>
      </c>
      <c r="F58" s="55">
        <f t="shared" si="36"/>
        <v>0</v>
      </c>
      <c r="G58" s="355">
        <f t="shared" si="34"/>
        <v>9982.5634720521957</v>
      </c>
      <c r="H58" s="336">
        <f t="shared" si="35"/>
        <v>9982.5634720521957</v>
      </c>
      <c r="I58" s="52">
        <f t="shared" si="37"/>
        <v>0</v>
      </c>
      <c r="J58" s="52"/>
      <c r="K58" s="115"/>
      <c r="L58" s="54">
        <f t="shared" si="38"/>
        <v>0</v>
      </c>
      <c r="M58" s="115"/>
      <c r="N58" s="54">
        <f t="shared" si="39"/>
        <v>0</v>
      </c>
      <c r="O58" s="54">
        <f t="shared" si="40"/>
        <v>0</v>
      </c>
      <c r="P58" s="1"/>
    </row>
    <row r="59" spans="2:16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0</v>
      </c>
      <c r="E59" s="354">
        <f>IF(+I14&lt;F58,I14,D59)</f>
        <v>0</v>
      </c>
      <c r="F59" s="55">
        <f t="shared" si="36"/>
        <v>0</v>
      </c>
      <c r="G59" s="355">
        <f t="shared" si="34"/>
        <v>0</v>
      </c>
      <c r="H59" s="336">
        <f t="shared" si="35"/>
        <v>0</v>
      </c>
      <c r="I59" s="52">
        <f t="shared" si="37"/>
        <v>0</v>
      </c>
      <c r="J59" s="52"/>
      <c r="K59" s="115"/>
      <c r="L59" s="54">
        <f t="shared" si="38"/>
        <v>0</v>
      </c>
      <c r="M59" s="115"/>
      <c r="N59" s="54">
        <f t="shared" si="39"/>
        <v>0</v>
      </c>
      <c r="O59" s="54">
        <f t="shared" si="40"/>
        <v>0</v>
      </c>
      <c r="P59" s="1"/>
    </row>
    <row r="60" spans="2:16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54">
        <f>IF(+I14&lt;F59,I14,D60)</f>
        <v>0</v>
      </c>
      <c r="F60" s="55">
        <f t="shared" si="36"/>
        <v>0</v>
      </c>
      <c r="G60" s="355">
        <f t="shared" si="34"/>
        <v>0</v>
      </c>
      <c r="H60" s="336">
        <f t="shared" si="35"/>
        <v>0</v>
      </c>
      <c r="I60" s="52">
        <f t="shared" si="37"/>
        <v>0</v>
      </c>
      <c r="J60" s="52"/>
      <c r="K60" s="115"/>
      <c r="L60" s="54">
        <f t="shared" si="38"/>
        <v>0</v>
      </c>
      <c r="M60" s="115"/>
      <c r="N60" s="54">
        <f t="shared" si="39"/>
        <v>0</v>
      </c>
      <c r="O60" s="54">
        <f t="shared" si="40"/>
        <v>0</v>
      </c>
      <c r="P60" s="1"/>
    </row>
    <row r="61" spans="2:16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54">
        <f>IF(+I14&lt;F60,I14,D61)</f>
        <v>0</v>
      </c>
      <c r="F61" s="55">
        <f t="shared" si="36"/>
        <v>0</v>
      </c>
      <c r="G61" s="355">
        <f t="shared" si="34"/>
        <v>0</v>
      </c>
      <c r="H61" s="336">
        <f t="shared" si="35"/>
        <v>0</v>
      </c>
      <c r="I61" s="52">
        <f t="shared" si="37"/>
        <v>0</v>
      </c>
      <c r="J61" s="52"/>
      <c r="K61" s="115"/>
      <c r="L61" s="54">
        <f t="shared" si="38"/>
        <v>0</v>
      </c>
      <c r="M61" s="115"/>
      <c r="N61" s="54">
        <f t="shared" si="39"/>
        <v>0</v>
      </c>
      <c r="O61" s="54">
        <f t="shared" si="40"/>
        <v>0</v>
      </c>
      <c r="P61" s="1"/>
    </row>
    <row r="62" spans="2:16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54">
        <f>IF(+I14&lt;F61,I14,D62)</f>
        <v>0</v>
      </c>
      <c r="F62" s="55">
        <f t="shared" si="36"/>
        <v>0</v>
      </c>
      <c r="G62" s="355">
        <f t="shared" si="34"/>
        <v>0</v>
      </c>
      <c r="H62" s="336">
        <f t="shared" si="35"/>
        <v>0</v>
      </c>
      <c r="I62" s="52">
        <f t="shared" si="37"/>
        <v>0</v>
      </c>
      <c r="J62" s="52"/>
      <c r="K62" s="115"/>
      <c r="L62" s="54">
        <f t="shared" si="38"/>
        <v>0</v>
      </c>
      <c r="M62" s="115"/>
      <c r="N62" s="54">
        <f t="shared" si="39"/>
        <v>0</v>
      </c>
      <c r="O62" s="54">
        <f t="shared" si="40"/>
        <v>0</v>
      </c>
      <c r="P62" s="1"/>
    </row>
    <row r="63" spans="2:16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54">
        <f>IF(+I14&lt;F62,I14,D63)</f>
        <v>0</v>
      </c>
      <c r="F63" s="55">
        <f t="shared" si="36"/>
        <v>0</v>
      </c>
      <c r="G63" s="355">
        <f t="shared" si="34"/>
        <v>0</v>
      </c>
      <c r="H63" s="336">
        <f t="shared" si="35"/>
        <v>0</v>
      </c>
      <c r="I63" s="52">
        <f t="shared" si="37"/>
        <v>0</v>
      </c>
      <c r="J63" s="52"/>
      <c r="K63" s="115"/>
      <c r="L63" s="54">
        <f t="shared" si="38"/>
        <v>0</v>
      </c>
      <c r="M63" s="115"/>
      <c r="N63" s="54">
        <f t="shared" si="39"/>
        <v>0</v>
      </c>
      <c r="O63" s="54">
        <f t="shared" si="40"/>
        <v>0</v>
      </c>
      <c r="P63" s="1"/>
    </row>
    <row r="64" spans="2:16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54">
        <f>IF(+I14&lt;F63,I14,D64)</f>
        <v>0</v>
      </c>
      <c r="F64" s="55">
        <f t="shared" si="36"/>
        <v>0</v>
      </c>
      <c r="G64" s="355">
        <f t="shared" si="34"/>
        <v>0</v>
      </c>
      <c r="H64" s="336">
        <f t="shared" si="35"/>
        <v>0</v>
      </c>
      <c r="I64" s="52">
        <f t="shared" si="37"/>
        <v>0</v>
      </c>
      <c r="J64" s="52"/>
      <c r="K64" s="115"/>
      <c r="L64" s="54">
        <f t="shared" si="38"/>
        <v>0</v>
      </c>
      <c r="M64" s="115"/>
      <c r="N64" s="54">
        <f t="shared" si="39"/>
        <v>0</v>
      </c>
      <c r="O64" s="54">
        <f t="shared" si="40"/>
        <v>0</v>
      </c>
      <c r="P64" s="1"/>
    </row>
    <row r="65" spans="1:16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54">
        <f>IF(+I14&lt;F64,I14,D65)</f>
        <v>0</v>
      </c>
      <c r="F65" s="55">
        <f t="shared" si="36"/>
        <v>0</v>
      </c>
      <c r="G65" s="355">
        <f t="shared" si="34"/>
        <v>0</v>
      </c>
      <c r="H65" s="336">
        <f t="shared" si="35"/>
        <v>0</v>
      </c>
      <c r="I65" s="52">
        <f t="shared" si="37"/>
        <v>0</v>
      </c>
      <c r="J65" s="52"/>
      <c r="K65" s="115"/>
      <c r="L65" s="54">
        <f t="shared" si="38"/>
        <v>0</v>
      </c>
      <c r="M65" s="115"/>
      <c r="N65" s="54">
        <f t="shared" si="39"/>
        <v>0</v>
      </c>
      <c r="O65" s="54">
        <f t="shared" si="40"/>
        <v>0</v>
      </c>
      <c r="P65" s="1"/>
    </row>
    <row r="66" spans="1:16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54">
        <f>IF(+I14&lt;F65,I14,D66)</f>
        <v>0</v>
      </c>
      <c r="F66" s="55">
        <f t="shared" si="36"/>
        <v>0</v>
      </c>
      <c r="G66" s="355">
        <f t="shared" si="34"/>
        <v>0</v>
      </c>
      <c r="H66" s="336">
        <f t="shared" si="35"/>
        <v>0</v>
      </c>
      <c r="I66" s="52">
        <f t="shared" si="37"/>
        <v>0</v>
      </c>
      <c r="J66" s="52"/>
      <c r="K66" s="115"/>
      <c r="L66" s="54">
        <f t="shared" si="38"/>
        <v>0</v>
      </c>
      <c r="M66" s="115"/>
      <c r="N66" s="54">
        <f t="shared" si="39"/>
        <v>0</v>
      </c>
      <c r="O66" s="54">
        <f t="shared" si="40"/>
        <v>0</v>
      </c>
      <c r="P66" s="1"/>
    </row>
    <row r="67" spans="1:16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54">
        <f>IF(+I14&lt;F66,I14,D67)</f>
        <v>0</v>
      </c>
      <c r="F67" s="55">
        <f t="shared" si="36"/>
        <v>0</v>
      </c>
      <c r="G67" s="355">
        <f t="shared" si="34"/>
        <v>0</v>
      </c>
      <c r="H67" s="336">
        <f t="shared" si="35"/>
        <v>0</v>
      </c>
      <c r="I67" s="52">
        <f t="shared" si="37"/>
        <v>0</v>
      </c>
      <c r="J67" s="52"/>
      <c r="K67" s="115"/>
      <c r="L67" s="54">
        <f t="shared" si="38"/>
        <v>0</v>
      </c>
      <c r="M67" s="115"/>
      <c r="N67" s="54">
        <f t="shared" si="39"/>
        <v>0</v>
      </c>
      <c r="O67" s="54">
        <f t="shared" si="40"/>
        <v>0</v>
      </c>
      <c r="P67" s="1"/>
    </row>
    <row r="68" spans="1:16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54">
        <f>IF(+I14&lt;F67,I14,D68)</f>
        <v>0</v>
      </c>
      <c r="F68" s="55">
        <f t="shared" si="36"/>
        <v>0</v>
      </c>
      <c r="G68" s="355">
        <f t="shared" si="34"/>
        <v>0</v>
      </c>
      <c r="H68" s="336">
        <f t="shared" si="35"/>
        <v>0</v>
      </c>
      <c r="I68" s="52">
        <f t="shared" si="37"/>
        <v>0</v>
      </c>
      <c r="J68" s="52"/>
      <c r="K68" s="115"/>
      <c r="L68" s="54">
        <f t="shared" si="38"/>
        <v>0</v>
      </c>
      <c r="M68" s="115"/>
      <c r="N68" s="54">
        <f t="shared" si="39"/>
        <v>0</v>
      </c>
      <c r="O68" s="54">
        <f t="shared" si="40"/>
        <v>0</v>
      </c>
      <c r="P68" s="1"/>
    </row>
    <row r="69" spans="1:16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54">
        <f>IF(+I14&lt;F68,I14,D69)</f>
        <v>0</v>
      </c>
      <c r="F69" s="55">
        <f t="shared" si="36"/>
        <v>0</v>
      </c>
      <c r="G69" s="355">
        <f t="shared" si="34"/>
        <v>0</v>
      </c>
      <c r="H69" s="336">
        <f t="shared" si="35"/>
        <v>0</v>
      </c>
      <c r="I69" s="52">
        <f t="shared" si="37"/>
        <v>0</v>
      </c>
      <c r="J69" s="52"/>
      <c r="K69" s="115"/>
      <c r="L69" s="54">
        <f t="shared" si="38"/>
        <v>0</v>
      </c>
      <c r="M69" s="115"/>
      <c r="N69" s="54">
        <f t="shared" si="39"/>
        <v>0</v>
      </c>
      <c r="O69" s="54">
        <f t="shared" si="40"/>
        <v>0</v>
      </c>
      <c r="P69" s="1"/>
    </row>
    <row r="70" spans="1:16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54">
        <f>IF(+I14&lt;F69,I14,D70)</f>
        <v>0</v>
      </c>
      <c r="F70" s="55">
        <f t="shared" si="36"/>
        <v>0</v>
      </c>
      <c r="G70" s="355">
        <f t="shared" si="34"/>
        <v>0</v>
      </c>
      <c r="H70" s="336">
        <f t="shared" si="35"/>
        <v>0</v>
      </c>
      <c r="I70" s="52">
        <f t="shared" si="37"/>
        <v>0</v>
      </c>
      <c r="J70" s="52"/>
      <c r="K70" s="115"/>
      <c r="L70" s="54">
        <f t="shared" si="38"/>
        <v>0</v>
      </c>
      <c r="M70" s="115"/>
      <c r="N70" s="54">
        <f t="shared" si="39"/>
        <v>0</v>
      </c>
      <c r="O70" s="54">
        <f t="shared" si="40"/>
        <v>0</v>
      </c>
      <c r="P70" s="1"/>
    </row>
    <row r="71" spans="1:16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54">
        <f>IF(+I14&lt;F70,I14,D71)</f>
        <v>0</v>
      </c>
      <c r="F71" s="55">
        <f t="shared" si="36"/>
        <v>0</v>
      </c>
      <c r="G71" s="355">
        <f t="shared" si="34"/>
        <v>0</v>
      </c>
      <c r="H71" s="336">
        <f t="shared" si="35"/>
        <v>0</v>
      </c>
      <c r="I71" s="52">
        <f t="shared" si="37"/>
        <v>0</v>
      </c>
      <c r="J71" s="52"/>
      <c r="K71" s="115"/>
      <c r="L71" s="54">
        <f t="shared" si="38"/>
        <v>0</v>
      </c>
      <c r="M71" s="115"/>
      <c r="N71" s="54">
        <f t="shared" si="39"/>
        <v>0</v>
      </c>
      <c r="O71" s="54">
        <f t="shared" si="40"/>
        <v>0</v>
      </c>
      <c r="P71" s="1"/>
    </row>
    <row r="72" spans="1:16" ht="13.5" thickBot="1">
      <c r="B72" s="7" t="str">
        <f t="shared" si="6"/>
        <v/>
      </c>
      <c r="C72" s="58">
        <f>IF(D11="","-",+C71+1)</f>
        <v>2064</v>
      </c>
      <c r="D72" s="59">
        <f>IF(F71+SUM(E$17:E71)=D$10,F71,D$10-SUM(E$17:E71))</f>
        <v>0</v>
      </c>
      <c r="E72" s="357">
        <f>IF(+I14&lt;F71,I14,D72)</f>
        <v>0</v>
      </c>
      <c r="F72" s="59">
        <f t="shared" si="36"/>
        <v>0</v>
      </c>
      <c r="G72" s="59">
        <f t="shared" si="34"/>
        <v>0</v>
      </c>
      <c r="H72" s="59">
        <f t="shared" si="35"/>
        <v>0</v>
      </c>
      <c r="I72" s="61">
        <f t="shared" si="37"/>
        <v>0</v>
      </c>
      <c r="J72" s="52"/>
      <c r="K72" s="116"/>
      <c r="L72" s="62">
        <f t="shared" si="38"/>
        <v>0</v>
      </c>
      <c r="M72" s="116"/>
      <c r="N72" s="62">
        <f t="shared" si="39"/>
        <v>0</v>
      </c>
      <c r="O72" s="62">
        <f t="shared" si="40"/>
        <v>0</v>
      </c>
      <c r="P72" s="1"/>
    </row>
    <row r="73" spans="1:16">
      <c r="C73" s="12" t="s">
        <v>77</v>
      </c>
      <c r="D73" s="266"/>
      <c r="E73" s="266">
        <f>SUM(E17:E72)</f>
        <v>893858</v>
      </c>
      <c r="F73" s="266"/>
      <c r="G73" s="266">
        <f>SUM(G17:G72)</f>
        <v>3242544.6521207271</v>
      </c>
      <c r="H73" s="266">
        <f>SUM(H17:H72)</f>
        <v>3242544.6521207271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1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1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1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1:16" ht="18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3"/>
      <c r="P77" s="1"/>
    </row>
    <row r="78" spans="1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1:16" ht="15">
      <c r="A79" s="359"/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</row>
    <row r="80" spans="1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93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88732.900451199646</v>
      </c>
      <c r="N87" s="364">
        <f>IF(J92&lt;D11,0,VLOOKUP(J92,C17:O72,11))</f>
        <v>88732.900451199646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93021.586794760166</v>
      </c>
      <c r="N88" s="367">
        <f>IF(J92&lt;D11,0,VLOOKUP(J92,C99:P154,7))</f>
        <v>93021.586794760166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Riverside-Glenpool (81-523) Reconductor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4288.6863435605192</v>
      </c>
      <c r="N89" s="369">
        <f>+N88-N87</f>
        <v>4288.6863435605192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TP2006087</v>
      </c>
      <c r="E91" s="74" t="str">
        <f>E9</f>
        <v>SPP Project ID =</v>
      </c>
      <c r="F91" s="74">
        <f>F9</f>
        <v>220</v>
      </c>
      <c r="G91" s="74"/>
      <c r="H91" s="74"/>
      <c r="I91" s="74"/>
      <c r="J91" s="371"/>
    </row>
    <row r="92" spans="1:16">
      <c r="C92" s="128" t="s">
        <v>226</v>
      </c>
      <c r="D92" s="335">
        <v>893858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2009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24158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2009</v>
      </c>
      <c r="D99" s="348">
        <v>0</v>
      </c>
      <c r="E99" s="352">
        <v>7981</v>
      </c>
      <c r="F99" s="351">
        <v>885877</v>
      </c>
      <c r="G99" s="376">
        <v>442938.5</v>
      </c>
      <c r="H99" s="377">
        <v>72742</v>
      </c>
      <c r="I99" s="378">
        <v>72742</v>
      </c>
      <c r="J99" s="54">
        <f t="shared" ref="J99:J130" si="41">+I99-H99</f>
        <v>0</v>
      </c>
      <c r="K99" s="54"/>
      <c r="L99" s="350">
        <f t="shared" ref="L99:L104" si="42">H99</f>
        <v>72742</v>
      </c>
      <c r="M99" s="53">
        <f t="shared" ref="M99:M130" si="43">IF(L99&lt;&gt;0,+H99-L99,0)</f>
        <v>0</v>
      </c>
      <c r="N99" s="350">
        <f t="shared" ref="N99:N104" si="44">I99</f>
        <v>72742</v>
      </c>
      <c r="O99" s="53">
        <f t="shared" ref="O99:O130" si="45">IF(N99&lt;&gt;0,+I99-N99,0)</f>
        <v>0</v>
      </c>
      <c r="P99" s="53">
        <f t="shared" ref="P99:P130" si="46">+O99-M99</f>
        <v>0</v>
      </c>
    </row>
    <row r="100" spans="1:16">
      <c r="B100" s="7" t="str">
        <f>IF(D100=F99,"","IU")</f>
        <v/>
      </c>
      <c r="C100" s="50">
        <f>IF(D93="","-",+C99+1)</f>
        <v>2010</v>
      </c>
      <c r="D100" s="348">
        <v>885877</v>
      </c>
      <c r="E100" s="352">
        <v>17527</v>
      </c>
      <c r="F100" s="351">
        <v>868350</v>
      </c>
      <c r="G100" s="351">
        <v>877113.5</v>
      </c>
      <c r="H100" s="377">
        <v>158580.20000000001</v>
      </c>
      <c r="I100" s="378">
        <v>158580.20000000001</v>
      </c>
      <c r="J100" s="54">
        <f t="shared" si="41"/>
        <v>0</v>
      </c>
      <c r="K100" s="54"/>
      <c r="L100" s="350">
        <f t="shared" si="42"/>
        <v>158580.20000000001</v>
      </c>
      <c r="M100" s="54">
        <f t="shared" si="43"/>
        <v>0</v>
      </c>
      <c r="N100" s="350">
        <f t="shared" si="44"/>
        <v>158580.20000000001</v>
      </c>
      <c r="O100" s="54">
        <f t="shared" si="45"/>
        <v>0</v>
      </c>
      <c r="P100" s="54">
        <f t="shared" si="46"/>
        <v>0</v>
      </c>
    </row>
    <row r="101" spans="1:16">
      <c r="B101" s="7" t="str">
        <f t="shared" ref="B101:B154" si="47">IF(D101=F100,"","IU")</f>
        <v/>
      </c>
      <c r="C101" s="50">
        <f>IF(D93="","-",+C100+1)</f>
        <v>2011</v>
      </c>
      <c r="D101" s="348">
        <v>868350</v>
      </c>
      <c r="E101" s="352">
        <v>17190</v>
      </c>
      <c r="F101" s="351">
        <v>851160</v>
      </c>
      <c r="G101" s="351">
        <v>859755</v>
      </c>
      <c r="H101" s="352">
        <v>137395.30233025842</v>
      </c>
      <c r="I101" s="353">
        <v>137395.30233025842</v>
      </c>
      <c r="J101" s="54">
        <f t="shared" si="41"/>
        <v>0</v>
      </c>
      <c r="K101" s="54"/>
      <c r="L101" s="379">
        <f t="shared" si="42"/>
        <v>137395.30233025842</v>
      </c>
      <c r="M101" s="380">
        <f t="shared" si="43"/>
        <v>0</v>
      </c>
      <c r="N101" s="379">
        <f t="shared" si="44"/>
        <v>137395.30233025842</v>
      </c>
      <c r="O101" s="54">
        <f t="shared" si="45"/>
        <v>0</v>
      </c>
      <c r="P101" s="54">
        <f t="shared" si="46"/>
        <v>0</v>
      </c>
    </row>
    <row r="102" spans="1:16">
      <c r="B102" s="7" t="str">
        <f t="shared" si="47"/>
        <v/>
      </c>
      <c r="C102" s="50">
        <f>IF(D93="","-",+C101+1)</f>
        <v>2012</v>
      </c>
      <c r="D102" s="348">
        <v>851160</v>
      </c>
      <c r="E102" s="352">
        <v>17190</v>
      </c>
      <c r="F102" s="351">
        <v>833970</v>
      </c>
      <c r="G102" s="351">
        <v>842565</v>
      </c>
      <c r="H102" s="352">
        <v>138397.59402070014</v>
      </c>
      <c r="I102" s="353">
        <v>138397.59402070014</v>
      </c>
      <c r="J102" s="54">
        <v>0</v>
      </c>
      <c r="K102" s="54"/>
      <c r="L102" s="379">
        <f t="shared" si="42"/>
        <v>138397.59402070014</v>
      </c>
      <c r="M102" s="380">
        <f t="shared" ref="M102:M107" si="48">IF(L102&lt;&gt;0,+H102-L102,0)</f>
        <v>0</v>
      </c>
      <c r="N102" s="379">
        <f t="shared" si="44"/>
        <v>138397.59402070014</v>
      </c>
      <c r="O102" s="54">
        <f t="shared" ref="O102:O107" si="49">IF(N102&lt;&gt;0,+I102-N102,0)</f>
        <v>0</v>
      </c>
      <c r="P102" s="54">
        <f t="shared" ref="P102:P107" si="50">+O102-M102</f>
        <v>0</v>
      </c>
    </row>
    <row r="103" spans="1:16">
      <c r="B103" s="7" t="str">
        <f t="shared" si="47"/>
        <v/>
      </c>
      <c r="C103" s="50">
        <f>IF(D93="","-",+C102+1)</f>
        <v>2013</v>
      </c>
      <c r="D103" s="348">
        <v>833970</v>
      </c>
      <c r="E103" s="352">
        <v>17190</v>
      </c>
      <c r="F103" s="351">
        <v>816780</v>
      </c>
      <c r="G103" s="351">
        <v>825375</v>
      </c>
      <c r="H103" s="352">
        <v>135994.14234787846</v>
      </c>
      <c r="I103" s="353">
        <v>135994.14234787846</v>
      </c>
      <c r="J103" s="54">
        <v>0</v>
      </c>
      <c r="K103" s="54"/>
      <c r="L103" s="379">
        <f t="shared" si="42"/>
        <v>135994.14234787846</v>
      </c>
      <c r="M103" s="380">
        <f t="shared" si="48"/>
        <v>0</v>
      </c>
      <c r="N103" s="379">
        <f t="shared" si="44"/>
        <v>135994.14234787846</v>
      </c>
      <c r="O103" s="54">
        <f t="shared" si="49"/>
        <v>0</v>
      </c>
      <c r="P103" s="54">
        <f t="shared" si="50"/>
        <v>0</v>
      </c>
    </row>
    <row r="104" spans="1:16">
      <c r="B104" s="7" t="str">
        <f t="shared" si="47"/>
        <v/>
      </c>
      <c r="C104" s="50">
        <f>IF(D93="","-",+C103+1)</f>
        <v>2014</v>
      </c>
      <c r="D104" s="348">
        <v>816780</v>
      </c>
      <c r="E104" s="352">
        <v>17190</v>
      </c>
      <c r="F104" s="351">
        <v>799590</v>
      </c>
      <c r="G104" s="351">
        <v>808185</v>
      </c>
      <c r="H104" s="352">
        <v>130817.50733584017</v>
      </c>
      <c r="I104" s="353">
        <v>130817.50733584017</v>
      </c>
      <c r="J104" s="54">
        <v>0</v>
      </c>
      <c r="K104" s="54"/>
      <c r="L104" s="379">
        <f t="shared" si="42"/>
        <v>130817.50733584017</v>
      </c>
      <c r="M104" s="380">
        <f t="shared" si="48"/>
        <v>0</v>
      </c>
      <c r="N104" s="379">
        <f t="shared" si="44"/>
        <v>130817.50733584017</v>
      </c>
      <c r="O104" s="54">
        <f t="shared" si="49"/>
        <v>0</v>
      </c>
      <c r="P104" s="54">
        <f t="shared" si="50"/>
        <v>0</v>
      </c>
    </row>
    <row r="105" spans="1:16">
      <c r="B105" s="7" t="str">
        <f t="shared" si="47"/>
        <v/>
      </c>
      <c r="C105" s="50">
        <f>IF(D93="","-",+C104+1)</f>
        <v>2015</v>
      </c>
      <c r="D105" s="348">
        <v>799590</v>
      </c>
      <c r="E105" s="352">
        <v>17190</v>
      </c>
      <c r="F105" s="351">
        <v>782400</v>
      </c>
      <c r="G105" s="351">
        <v>790995</v>
      </c>
      <c r="H105" s="352">
        <v>125114.9078367878</v>
      </c>
      <c r="I105" s="353">
        <v>125114.9078367878</v>
      </c>
      <c r="J105" s="54">
        <f t="shared" si="41"/>
        <v>0</v>
      </c>
      <c r="K105" s="54"/>
      <c r="L105" s="379">
        <f t="shared" ref="L105:L110" si="51">H105</f>
        <v>125114.9078367878</v>
      </c>
      <c r="M105" s="380">
        <f t="shared" si="48"/>
        <v>0</v>
      </c>
      <c r="N105" s="379">
        <f t="shared" ref="N105:N110" si="52">I105</f>
        <v>125114.9078367878</v>
      </c>
      <c r="O105" s="54">
        <f t="shared" si="49"/>
        <v>0</v>
      </c>
      <c r="P105" s="54">
        <f t="shared" si="50"/>
        <v>0</v>
      </c>
    </row>
    <row r="106" spans="1:16">
      <c r="B106" s="7" t="str">
        <f t="shared" si="47"/>
        <v/>
      </c>
      <c r="C106" s="50">
        <f>IF(D93="","-",+C105+1)</f>
        <v>2016</v>
      </c>
      <c r="D106" s="348">
        <v>782400</v>
      </c>
      <c r="E106" s="352">
        <v>19432</v>
      </c>
      <c r="F106" s="351">
        <v>762968</v>
      </c>
      <c r="G106" s="351">
        <v>772684</v>
      </c>
      <c r="H106" s="352">
        <v>119043.13650322839</v>
      </c>
      <c r="I106" s="353">
        <v>119043.13650322839</v>
      </c>
      <c r="J106" s="54">
        <f t="shared" si="41"/>
        <v>0</v>
      </c>
      <c r="K106" s="54"/>
      <c r="L106" s="379">
        <f t="shared" si="51"/>
        <v>119043.13650322839</v>
      </c>
      <c r="M106" s="380">
        <f t="shared" si="48"/>
        <v>0</v>
      </c>
      <c r="N106" s="379">
        <f t="shared" si="52"/>
        <v>119043.13650322839</v>
      </c>
      <c r="O106" s="54">
        <f t="shared" si="49"/>
        <v>0</v>
      </c>
      <c r="P106" s="54">
        <f t="shared" si="50"/>
        <v>0</v>
      </c>
    </row>
    <row r="107" spans="1:16">
      <c r="B107" s="7" t="str">
        <f t="shared" si="47"/>
        <v/>
      </c>
      <c r="C107" s="50">
        <f>IF(D93="","-",+C106+1)</f>
        <v>2017</v>
      </c>
      <c r="D107" s="348">
        <v>762968</v>
      </c>
      <c r="E107" s="352">
        <v>19432</v>
      </c>
      <c r="F107" s="351">
        <v>743536</v>
      </c>
      <c r="G107" s="351">
        <v>753252</v>
      </c>
      <c r="H107" s="352">
        <v>114983.91552559278</v>
      </c>
      <c r="I107" s="353">
        <v>114983.91552559278</v>
      </c>
      <c r="J107" s="54">
        <f t="shared" si="41"/>
        <v>0</v>
      </c>
      <c r="K107" s="54"/>
      <c r="L107" s="379">
        <f t="shared" si="51"/>
        <v>114983.91552559278</v>
      </c>
      <c r="M107" s="380">
        <f t="shared" si="48"/>
        <v>0</v>
      </c>
      <c r="N107" s="379">
        <f t="shared" si="52"/>
        <v>114983.91552559278</v>
      </c>
      <c r="O107" s="54">
        <f t="shared" si="49"/>
        <v>0</v>
      </c>
      <c r="P107" s="54">
        <f t="shared" si="50"/>
        <v>0</v>
      </c>
    </row>
    <row r="108" spans="1:16">
      <c r="B108" s="7" t="str">
        <f t="shared" si="47"/>
        <v/>
      </c>
      <c r="C108" s="50">
        <f>IF(D93="","-",+C107+1)</f>
        <v>2018</v>
      </c>
      <c r="D108" s="348">
        <v>743536</v>
      </c>
      <c r="E108" s="352">
        <v>20787</v>
      </c>
      <c r="F108" s="351">
        <v>722749</v>
      </c>
      <c r="G108" s="351">
        <v>733142.5</v>
      </c>
      <c r="H108" s="352">
        <v>96106.810302403712</v>
      </c>
      <c r="I108" s="353">
        <v>96106.810302403712</v>
      </c>
      <c r="J108" s="54">
        <f t="shared" si="41"/>
        <v>0</v>
      </c>
      <c r="K108" s="54"/>
      <c r="L108" s="379">
        <f t="shared" si="51"/>
        <v>96106.810302403712</v>
      </c>
      <c r="M108" s="380">
        <f t="shared" ref="M108" si="53">IF(L108&lt;&gt;0,+H108-L108,0)</f>
        <v>0</v>
      </c>
      <c r="N108" s="379">
        <f t="shared" si="52"/>
        <v>96106.810302403712</v>
      </c>
      <c r="O108" s="54">
        <f t="shared" ref="O108" si="54">IF(N108&lt;&gt;0,+I108-N108,0)</f>
        <v>0</v>
      </c>
      <c r="P108" s="54">
        <f t="shared" ref="P108" si="55">+O108-M108</f>
        <v>0</v>
      </c>
    </row>
    <row r="109" spans="1:16">
      <c r="B109" s="7" t="str">
        <f t="shared" si="47"/>
        <v/>
      </c>
      <c r="C109" s="50">
        <f>IF(D93="","-",+C108+1)</f>
        <v>2019</v>
      </c>
      <c r="D109" s="348">
        <v>722749</v>
      </c>
      <c r="E109" s="352">
        <v>21801</v>
      </c>
      <c r="F109" s="351">
        <v>700948</v>
      </c>
      <c r="G109" s="351">
        <v>711848.5</v>
      </c>
      <c r="H109" s="352">
        <v>95202.564794457576</v>
      </c>
      <c r="I109" s="353">
        <v>95202.564794457576</v>
      </c>
      <c r="J109" s="54">
        <f t="shared" si="41"/>
        <v>0</v>
      </c>
      <c r="K109" s="54"/>
      <c r="L109" s="379">
        <f t="shared" si="51"/>
        <v>95202.564794457576</v>
      </c>
      <c r="M109" s="380">
        <f t="shared" ref="M109" si="56">IF(L109&lt;&gt;0,+H109-L109,0)</f>
        <v>0</v>
      </c>
      <c r="N109" s="379">
        <f t="shared" si="52"/>
        <v>95202.564794457576</v>
      </c>
      <c r="O109" s="54">
        <f t="shared" si="45"/>
        <v>0</v>
      </c>
      <c r="P109" s="54">
        <f t="shared" si="46"/>
        <v>0</v>
      </c>
    </row>
    <row r="110" spans="1:16">
      <c r="B110" s="7" t="str">
        <f t="shared" si="47"/>
        <v/>
      </c>
      <c r="C110" s="50">
        <f>IF(D93="","-",+C109+1)</f>
        <v>2020</v>
      </c>
      <c r="D110" s="348">
        <v>700948</v>
      </c>
      <c r="E110" s="352">
        <v>20787</v>
      </c>
      <c r="F110" s="351">
        <v>680161</v>
      </c>
      <c r="G110" s="351">
        <v>690554.5</v>
      </c>
      <c r="H110" s="352">
        <v>100406.03532694498</v>
      </c>
      <c r="I110" s="353">
        <v>100406.03532694498</v>
      </c>
      <c r="J110" s="54">
        <f t="shared" si="41"/>
        <v>0</v>
      </c>
      <c r="K110" s="54"/>
      <c r="L110" s="379">
        <f t="shared" si="51"/>
        <v>100406.03532694498</v>
      </c>
      <c r="M110" s="380">
        <f t="shared" ref="M110" si="57">IF(L110&lt;&gt;0,+H110-L110,0)</f>
        <v>0</v>
      </c>
      <c r="N110" s="379">
        <f t="shared" si="52"/>
        <v>100406.03532694498</v>
      </c>
      <c r="O110" s="54">
        <f t="shared" si="45"/>
        <v>0</v>
      </c>
      <c r="P110" s="54">
        <f t="shared" si="46"/>
        <v>0</v>
      </c>
    </row>
    <row r="111" spans="1:16">
      <c r="B111" s="7" t="str">
        <f t="shared" si="47"/>
        <v/>
      </c>
      <c r="C111" s="50">
        <f>IF(D93="","-",+C110+1)</f>
        <v>2021</v>
      </c>
      <c r="D111" s="348">
        <v>680161</v>
      </c>
      <c r="E111" s="352">
        <v>21801</v>
      </c>
      <c r="F111" s="351">
        <v>658360</v>
      </c>
      <c r="G111" s="351">
        <v>669260.5</v>
      </c>
      <c r="H111" s="352">
        <v>97958.021560633977</v>
      </c>
      <c r="I111" s="353">
        <v>97958.021560633977</v>
      </c>
      <c r="J111" s="54">
        <f t="shared" si="41"/>
        <v>0</v>
      </c>
      <c r="K111" s="54"/>
      <c r="L111" s="379">
        <f t="shared" ref="L111" si="58">H111</f>
        <v>97958.021560633977</v>
      </c>
      <c r="M111" s="380">
        <f t="shared" ref="M111" si="59">IF(L111&lt;&gt;0,+H111-L111,0)</f>
        <v>0</v>
      </c>
      <c r="N111" s="379">
        <f t="shared" ref="N111" si="60">I111</f>
        <v>97958.021560633977</v>
      </c>
      <c r="O111" s="54">
        <f t="shared" si="45"/>
        <v>0</v>
      </c>
      <c r="P111" s="54">
        <f t="shared" si="46"/>
        <v>0</v>
      </c>
    </row>
    <row r="112" spans="1:16">
      <c r="B112" s="7" t="str">
        <f t="shared" si="47"/>
        <v/>
      </c>
      <c r="C112" s="50">
        <f>IF(D93="","-",+C111+1)</f>
        <v>2022</v>
      </c>
      <c r="D112" s="348">
        <v>658360</v>
      </c>
      <c r="E112" s="352">
        <v>22919</v>
      </c>
      <c r="F112" s="351">
        <v>635441</v>
      </c>
      <c r="G112" s="351">
        <v>646900.5</v>
      </c>
      <c r="H112" s="352">
        <v>94196.213236584284</v>
      </c>
      <c r="I112" s="353">
        <v>94196.213236584284</v>
      </c>
      <c r="J112" s="54">
        <f t="shared" si="41"/>
        <v>0</v>
      </c>
      <c r="K112" s="54"/>
      <c r="L112" s="379">
        <f t="shared" ref="L112" si="61">H112</f>
        <v>94196.213236584284</v>
      </c>
      <c r="M112" s="380">
        <f t="shared" ref="M112" si="62">IF(L112&lt;&gt;0,+H112-L112,0)</f>
        <v>0</v>
      </c>
      <c r="N112" s="379">
        <f t="shared" ref="N112" si="63">I112</f>
        <v>94196.213236584284</v>
      </c>
      <c r="O112" s="54">
        <f t="shared" ref="O112" si="64">IF(N112&lt;&gt;0,+I112-N112,0)</f>
        <v>0</v>
      </c>
      <c r="P112" s="54">
        <f t="shared" ref="P112" si="65">+O112-M112</f>
        <v>0</v>
      </c>
    </row>
    <row r="113" spans="2:16">
      <c r="B113" s="7" t="str">
        <f t="shared" si="47"/>
        <v/>
      </c>
      <c r="C113" s="50">
        <f>IF(D93="","-",+C112+1)</f>
        <v>2023</v>
      </c>
      <c r="D113" s="348">
        <v>635441</v>
      </c>
      <c r="E113" s="352">
        <v>23523</v>
      </c>
      <c r="F113" s="351">
        <v>611918</v>
      </c>
      <c r="G113" s="351">
        <v>623679.5</v>
      </c>
      <c r="H113" s="352">
        <v>94764.071336101319</v>
      </c>
      <c r="I113" s="353">
        <v>94764.071336101319</v>
      </c>
      <c r="J113" s="54">
        <f t="shared" si="41"/>
        <v>0</v>
      </c>
      <c r="K113" s="54"/>
      <c r="L113" s="379">
        <f t="shared" ref="L113" si="66">H113</f>
        <v>94764.071336101319</v>
      </c>
      <c r="M113" s="380">
        <f t="shared" ref="M113" si="67">IF(L113&lt;&gt;0,+H113-L113,0)</f>
        <v>0</v>
      </c>
      <c r="N113" s="379">
        <f t="shared" ref="N113" si="68">I113</f>
        <v>94764.071336101319</v>
      </c>
      <c r="O113" s="54">
        <f t="shared" ref="O113" si="69">IF(N113&lt;&gt;0,+I113-N113,0)</f>
        <v>0</v>
      </c>
      <c r="P113" s="54">
        <f t="shared" ref="P113" si="70">+O113-M113</f>
        <v>0</v>
      </c>
    </row>
    <row r="114" spans="2:16">
      <c r="B114" s="7" t="str">
        <f t="shared" si="47"/>
        <v/>
      </c>
      <c r="C114" s="50">
        <f>IF(D93="","-",+C113+1)</f>
        <v>2024</v>
      </c>
      <c r="D114" s="348">
        <v>611918</v>
      </c>
      <c r="E114" s="352">
        <v>24158</v>
      </c>
      <c r="F114" s="351">
        <v>587760</v>
      </c>
      <c r="G114" s="351">
        <v>599839</v>
      </c>
      <c r="H114" s="352">
        <v>104727.60054215037</v>
      </c>
      <c r="I114" s="353">
        <v>104727.60054215037</v>
      </c>
      <c r="J114" s="54">
        <f t="shared" si="41"/>
        <v>0</v>
      </c>
      <c r="K114" s="54"/>
      <c r="L114" s="379">
        <f t="shared" ref="L114" si="71">H114</f>
        <v>104727.60054215037</v>
      </c>
      <c r="M114" s="380">
        <f t="shared" ref="M114" si="72">IF(L114&lt;&gt;0,+H114-L114,0)</f>
        <v>0</v>
      </c>
      <c r="N114" s="379">
        <f t="shared" ref="N114" si="73">I114</f>
        <v>104727.60054215037</v>
      </c>
      <c r="O114" s="54">
        <f t="shared" ref="O114" si="74">IF(N114&lt;&gt;0,+I114-N114,0)</f>
        <v>0</v>
      </c>
      <c r="P114" s="54">
        <f t="shared" ref="P114" si="75">+O114-M114</f>
        <v>0</v>
      </c>
    </row>
    <row r="115" spans="2:16">
      <c r="B115" s="7" t="str">
        <f t="shared" si="47"/>
        <v/>
      </c>
      <c r="C115" s="50">
        <f>IF(D93="","-",+C114+1)</f>
        <v>2025</v>
      </c>
      <c r="D115" s="12">
        <f>IF(F114+SUM(E$99:E114)=D$92,F114,D$92-SUM(E$99:E114))</f>
        <v>587760</v>
      </c>
      <c r="E115" s="355">
        <f>IF(+J96&lt;F114,J96,D115)</f>
        <v>24158</v>
      </c>
      <c r="F115" s="55">
        <f t="shared" ref="F115:F130" si="76">+D115-E115</f>
        <v>563602</v>
      </c>
      <c r="G115" s="55">
        <f t="shared" ref="G115:G130" si="77">+(F115+D115)/2</f>
        <v>575681</v>
      </c>
      <c r="H115" s="355">
        <f t="shared" ref="H115:H154" si="78">(D115+F115)/2*J$94+E115</f>
        <v>93021.586794760166</v>
      </c>
      <c r="I115" s="381">
        <f t="shared" ref="I115:I131" si="79">+J$95*G115+E115</f>
        <v>93021.586794760166</v>
      </c>
      <c r="J115" s="54">
        <f t="shared" si="41"/>
        <v>0</v>
      </c>
      <c r="K115" s="54"/>
      <c r="L115" s="115"/>
      <c r="M115" s="54">
        <f t="shared" si="43"/>
        <v>0</v>
      </c>
      <c r="N115" s="115"/>
      <c r="O115" s="54">
        <f t="shared" si="45"/>
        <v>0</v>
      </c>
      <c r="P115" s="54">
        <f t="shared" si="46"/>
        <v>0</v>
      </c>
    </row>
    <row r="116" spans="2:16">
      <c r="B116" s="7" t="str">
        <f t="shared" si="47"/>
        <v/>
      </c>
      <c r="C116" s="50">
        <f>IF(D93="","-",+C115+1)</f>
        <v>2026</v>
      </c>
      <c r="D116" s="12">
        <f>IF(F115+SUM(E$99:E115)=D$92,F115,D$92-SUM(E$99:E115))</f>
        <v>563602</v>
      </c>
      <c r="E116" s="355">
        <f>IF(+J96&lt;F115,J96,D116)</f>
        <v>24158</v>
      </c>
      <c r="F116" s="55">
        <f t="shared" si="76"/>
        <v>539444</v>
      </c>
      <c r="G116" s="55">
        <f t="shared" si="77"/>
        <v>551523</v>
      </c>
      <c r="H116" s="355">
        <f t="shared" si="78"/>
        <v>90131.7805830078</v>
      </c>
      <c r="I116" s="381">
        <f t="shared" si="79"/>
        <v>90131.7805830078</v>
      </c>
      <c r="J116" s="54">
        <f t="shared" si="41"/>
        <v>0</v>
      </c>
      <c r="K116" s="54"/>
      <c r="L116" s="115"/>
      <c r="M116" s="54">
        <f t="shared" si="43"/>
        <v>0</v>
      </c>
      <c r="N116" s="115"/>
      <c r="O116" s="54">
        <f t="shared" si="45"/>
        <v>0</v>
      </c>
      <c r="P116" s="54">
        <f t="shared" si="46"/>
        <v>0</v>
      </c>
    </row>
    <row r="117" spans="2:16">
      <c r="B117" s="7" t="str">
        <f t="shared" si="47"/>
        <v/>
      </c>
      <c r="C117" s="50">
        <f>IF(D93="","-",+C116+1)</f>
        <v>2027</v>
      </c>
      <c r="D117" s="12">
        <f>IF(F116+SUM(E$99:E116)=D$92,F116,D$92-SUM(E$99:E116))</f>
        <v>539444</v>
      </c>
      <c r="E117" s="355">
        <f>IF(+J96&lt;F116,J96,D117)</f>
        <v>24158</v>
      </c>
      <c r="F117" s="55">
        <f t="shared" si="76"/>
        <v>515286</v>
      </c>
      <c r="G117" s="55">
        <f t="shared" si="77"/>
        <v>527365</v>
      </c>
      <c r="H117" s="355">
        <f t="shared" si="78"/>
        <v>87241.974371255434</v>
      </c>
      <c r="I117" s="381">
        <f t="shared" si="79"/>
        <v>87241.974371255434</v>
      </c>
      <c r="J117" s="54">
        <f t="shared" si="41"/>
        <v>0</v>
      </c>
      <c r="K117" s="54"/>
      <c r="L117" s="115"/>
      <c r="M117" s="54">
        <f t="shared" si="43"/>
        <v>0</v>
      </c>
      <c r="N117" s="115"/>
      <c r="O117" s="54">
        <f t="shared" si="45"/>
        <v>0</v>
      </c>
      <c r="P117" s="54">
        <f t="shared" si="46"/>
        <v>0</v>
      </c>
    </row>
    <row r="118" spans="2:16">
      <c r="B118" s="7" t="str">
        <f t="shared" si="47"/>
        <v/>
      </c>
      <c r="C118" s="50">
        <f>IF(D93="","-",+C117+1)</f>
        <v>2028</v>
      </c>
      <c r="D118" s="12">
        <f>IF(F117+SUM(E$99:E117)=D$92,F117,D$92-SUM(E$99:E117))</f>
        <v>515286</v>
      </c>
      <c r="E118" s="355">
        <f>IF(+J96&lt;F117,J96,D118)</f>
        <v>24158</v>
      </c>
      <c r="F118" s="55">
        <f t="shared" si="76"/>
        <v>491128</v>
      </c>
      <c r="G118" s="55">
        <f t="shared" si="77"/>
        <v>503207</v>
      </c>
      <c r="H118" s="355">
        <f t="shared" si="78"/>
        <v>84352.168159503053</v>
      </c>
      <c r="I118" s="381">
        <f t="shared" si="79"/>
        <v>84352.168159503053</v>
      </c>
      <c r="J118" s="54">
        <f t="shared" si="41"/>
        <v>0</v>
      </c>
      <c r="K118" s="54"/>
      <c r="L118" s="115"/>
      <c r="M118" s="54">
        <f t="shared" si="43"/>
        <v>0</v>
      </c>
      <c r="N118" s="115"/>
      <c r="O118" s="54">
        <f t="shared" si="45"/>
        <v>0</v>
      </c>
      <c r="P118" s="54">
        <f t="shared" si="46"/>
        <v>0</v>
      </c>
    </row>
    <row r="119" spans="2:16">
      <c r="B119" s="7" t="str">
        <f t="shared" si="47"/>
        <v/>
      </c>
      <c r="C119" s="50">
        <f>IF(D93="","-",+C118+1)</f>
        <v>2029</v>
      </c>
      <c r="D119" s="12">
        <f>IF(F118+SUM(E$99:E118)=D$92,F118,D$92-SUM(E$99:E118))</f>
        <v>491128</v>
      </c>
      <c r="E119" s="355">
        <f>IF(+J96&lt;F118,J96,D119)</f>
        <v>24158</v>
      </c>
      <c r="F119" s="55">
        <f t="shared" si="76"/>
        <v>466970</v>
      </c>
      <c r="G119" s="55">
        <f t="shared" si="77"/>
        <v>479049</v>
      </c>
      <c r="H119" s="355">
        <f t="shared" si="78"/>
        <v>81462.361947750687</v>
      </c>
      <c r="I119" s="381">
        <f t="shared" si="79"/>
        <v>81462.361947750687</v>
      </c>
      <c r="J119" s="54">
        <f t="shared" si="41"/>
        <v>0</v>
      </c>
      <c r="K119" s="54"/>
      <c r="L119" s="115"/>
      <c r="M119" s="54">
        <f t="shared" si="43"/>
        <v>0</v>
      </c>
      <c r="N119" s="115"/>
      <c r="O119" s="54">
        <f t="shared" si="45"/>
        <v>0</v>
      </c>
      <c r="P119" s="54">
        <f t="shared" si="46"/>
        <v>0</v>
      </c>
    </row>
    <row r="120" spans="2:16">
      <c r="B120" s="7" t="str">
        <f t="shared" si="47"/>
        <v/>
      </c>
      <c r="C120" s="50">
        <f>IF(D93="","-",+C119+1)</f>
        <v>2030</v>
      </c>
      <c r="D120" s="12">
        <f>IF(F119+SUM(E$99:E119)=D$92,F119,D$92-SUM(E$99:E119))</f>
        <v>466970</v>
      </c>
      <c r="E120" s="355">
        <f>IF(+J96&lt;F119,J96,D120)</f>
        <v>24158</v>
      </c>
      <c r="F120" s="55">
        <f t="shared" si="76"/>
        <v>442812</v>
      </c>
      <c r="G120" s="55">
        <f t="shared" si="77"/>
        <v>454891</v>
      </c>
      <c r="H120" s="355">
        <f t="shared" si="78"/>
        <v>78572.555735998321</v>
      </c>
      <c r="I120" s="381">
        <f t="shared" si="79"/>
        <v>78572.555735998321</v>
      </c>
      <c r="J120" s="54">
        <f t="shared" si="41"/>
        <v>0</v>
      </c>
      <c r="K120" s="54"/>
      <c r="L120" s="115"/>
      <c r="M120" s="54">
        <f t="shared" si="43"/>
        <v>0</v>
      </c>
      <c r="N120" s="115"/>
      <c r="O120" s="54">
        <f t="shared" si="45"/>
        <v>0</v>
      </c>
      <c r="P120" s="54">
        <f t="shared" si="46"/>
        <v>0</v>
      </c>
    </row>
    <row r="121" spans="2:16">
      <c r="B121" s="7" t="str">
        <f t="shared" si="47"/>
        <v/>
      </c>
      <c r="C121" s="50">
        <f>IF(D93="","-",+C120+1)</f>
        <v>2031</v>
      </c>
      <c r="D121" s="12">
        <f>IF(F120+SUM(E$99:E120)=D$92,F120,D$92-SUM(E$99:E120))</f>
        <v>442812</v>
      </c>
      <c r="E121" s="355">
        <f>IF(+J96&lt;F120,J96,D121)</f>
        <v>24158</v>
      </c>
      <c r="F121" s="55">
        <f t="shared" si="76"/>
        <v>418654</v>
      </c>
      <c r="G121" s="55">
        <f t="shared" si="77"/>
        <v>430733</v>
      </c>
      <c r="H121" s="355">
        <f t="shared" si="78"/>
        <v>75682.749524245941</v>
      </c>
      <c r="I121" s="381">
        <f t="shared" si="79"/>
        <v>75682.749524245941</v>
      </c>
      <c r="J121" s="54">
        <f t="shared" si="41"/>
        <v>0</v>
      </c>
      <c r="K121" s="54"/>
      <c r="L121" s="115"/>
      <c r="M121" s="54">
        <f t="shared" si="43"/>
        <v>0</v>
      </c>
      <c r="N121" s="115"/>
      <c r="O121" s="54">
        <f t="shared" si="45"/>
        <v>0</v>
      </c>
      <c r="P121" s="54">
        <f t="shared" si="46"/>
        <v>0</v>
      </c>
    </row>
    <row r="122" spans="2:16">
      <c r="B122" s="7" t="str">
        <f t="shared" si="47"/>
        <v/>
      </c>
      <c r="C122" s="50">
        <f>IF(D93="","-",+C121+1)</f>
        <v>2032</v>
      </c>
      <c r="D122" s="12">
        <f>IF(F121+SUM(E$99:E121)=D$92,F121,D$92-SUM(E$99:E121))</f>
        <v>418654</v>
      </c>
      <c r="E122" s="355">
        <f>IF(+J96&lt;F121,J96,D122)</f>
        <v>24158</v>
      </c>
      <c r="F122" s="55">
        <f t="shared" si="76"/>
        <v>394496</v>
      </c>
      <c r="G122" s="55">
        <f t="shared" si="77"/>
        <v>406575</v>
      </c>
      <c r="H122" s="355">
        <f t="shared" si="78"/>
        <v>72792.943312493575</v>
      </c>
      <c r="I122" s="381">
        <f t="shared" si="79"/>
        <v>72792.943312493575</v>
      </c>
      <c r="J122" s="54">
        <f t="shared" si="41"/>
        <v>0</v>
      </c>
      <c r="K122" s="54"/>
      <c r="L122" s="115"/>
      <c r="M122" s="54">
        <f t="shared" si="43"/>
        <v>0</v>
      </c>
      <c r="N122" s="115"/>
      <c r="O122" s="54">
        <f t="shared" si="45"/>
        <v>0</v>
      </c>
      <c r="P122" s="54">
        <f t="shared" si="46"/>
        <v>0</v>
      </c>
    </row>
    <row r="123" spans="2:16">
      <c r="B123" s="7" t="str">
        <f t="shared" si="47"/>
        <v/>
      </c>
      <c r="C123" s="50">
        <f>IF(D93="","-",+C122+1)</f>
        <v>2033</v>
      </c>
      <c r="D123" s="12">
        <f>IF(F122+SUM(E$99:E122)=D$92,F122,D$92-SUM(E$99:E122))</f>
        <v>394496</v>
      </c>
      <c r="E123" s="355">
        <f>IF(+J96&lt;F122,J96,D123)</f>
        <v>24158</v>
      </c>
      <c r="F123" s="55">
        <f t="shared" si="76"/>
        <v>370338</v>
      </c>
      <c r="G123" s="55">
        <f t="shared" si="77"/>
        <v>382417</v>
      </c>
      <c r="H123" s="355">
        <f t="shared" si="78"/>
        <v>69903.137100741209</v>
      </c>
      <c r="I123" s="381">
        <f t="shared" si="79"/>
        <v>69903.137100741209</v>
      </c>
      <c r="J123" s="54">
        <f t="shared" si="41"/>
        <v>0</v>
      </c>
      <c r="K123" s="54"/>
      <c r="L123" s="115"/>
      <c r="M123" s="54">
        <f t="shared" si="43"/>
        <v>0</v>
      </c>
      <c r="N123" s="115"/>
      <c r="O123" s="54">
        <f t="shared" si="45"/>
        <v>0</v>
      </c>
      <c r="P123" s="54">
        <f t="shared" si="46"/>
        <v>0</v>
      </c>
    </row>
    <row r="124" spans="2:16">
      <c r="B124" s="7" t="str">
        <f t="shared" si="47"/>
        <v/>
      </c>
      <c r="C124" s="50">
        <f>IF(D93="","-",+C123+1)</f>
        <v>2034</v>
      </c>
      <c r="D124" s="12">
        <f>IF(F123+SUM(E$99:E123)=D$92,F123,D$92-SUM(E$99:E123))</f>
        <v>370338</v>
      </c>
      <c r="E124" s="355">
        <f>IF(+J96&lt;F123,J96,D124)</f>
        <v>24158</v>
      </c>
      <c r="F124" s="55">
        <f t="shared" si="76"/>
        <v>346180</v>
      </c>
      <c r="G124" s="55">
        <f t="shared" si="77"/>
        <v>358259</v>
      </c>
      <c r="H124" s="355">
        <f t="shared" si="78"/>
        <v>67013.330888988829</v>
      </c>
      <c r="I124" s="381">
        <f t="shared" si="79"/>
        <v>67013.330888988829</v>
      </c>
      <c r="J124" s="54">
        <f t="shared" si="41"/>
        <v>0</v>
      </c>
      <c r="K124" s="54"/>
      <c r="L124" s="115"/>
      <c r="M124" s="54">
        <f t="shared" si="43"/>
        <v>0</v>
      </c>
      <c r="N124" s="115"/>
      <c r="O124" s="54">
        <f t="shared" si="45"/>
        <v>0</v>
      </c>
      <c r="P124" s="54">
        <f t="shared" si="46"/>
        <v>0</v>
      </c>
    </row>
    <row r="125" spans="2:16">
      <c r="B125" s="7" t="str">
        <f t="shared" si="47"/>
        <v/>
      </c>
      <c r="C125" s="50">
        <f>IF(D93="","-",+C124+1)</f>
        <v>2035</v>
      </c>
      <c r="D125" s="12">
        <f>IF(F124+SUM(E$99:E124)=D$92,F124,D$92-SUM(E$99:E124))</f>
        <v>346180</v>
      </c>
      <c r="E125" s="355">
        <f>IF(+J96&lt;F124,J96,D125)</f>
        <v>24158</v>
      </c>
      <c r="F125" s="55">
        <f t="shared" si="76"/>
        <v>322022</v>
      </c>
      <c r="G125" s="55">
        <f t="shared" si="77"/>
        <v>334101</v>
      </c>
      <c r="H125" s="355">
        <f t="shared" si="78"/>
        <v>64123.524677236463</v>
      </c>
      <c r="I125" s="381">
        <f t="shared" si="79"/>
        <v>64123.524677236463</v>
      </c>
      <c r="J125" s="54">
        <f t="shared" si="41"/>
        <v>0</v>
      </c>
      <c r="K125" s="54"/>
      <c r="L125" s="115"/>
      <c r="M125" s="54">
        <f t="shared" si="43"/>
        <v>0</v>
      </c>
      <c r="N125" s="115"/>
      <c r="O125" s="54">
        <f t="shared" si="45"/>
        <v>0</v>
      </c>
      <c r="P125" s="54">
        <f t="shared" si="46"/>
        <v>0</v>
      </c>
    </row>
    <row r="126" spans="2:16">
      <c r="B126" s="7" t="str">
        <f t="shared" si="47"/>
        <v/>
      </c>
      <c r="C126" s="50">
        <f>IF(D93="","-",+C125+1)</f>
        <v>2036</v>
      </c>
      <c r="D126" s="12">
        <f>IF(F125+SUM(E$99:E125)=D$92,F125,D$92-SUM(E$99:E125))</f>
        <v>322022</v>
      </c>
      <c r="E126" s="355">
        <f>IF(+J96&lt;F125,J96,D126)</f>
        <v>24158</v>
      </c>
      <c r="F126" s="55">
        <f t="shared" si="76"/>
        <v>297864</v>
      </c>
      <c r="G126" s="55">
        <f t="shared" si="77"/>
        <v>309943</v>
      </c>
      <c r="H126" s="355">
        <f t="shared" si="78"/>
        <v>61233.718465484097</v>
      </c>
      <c r="I126" s="381">
        <f t="shared" si="79"/>
        <v>61233.718465484097</v>
      </c>
      <c r="J126" s="54">
        <f t="shared" si="41"/>
        <v>0</v>
      </c>
      <c r="K126" s="54"/>
      <c r="L126" s="115"/>
      <c r="M126" s="54">
        <f t="shared" si="43"/>
        <v>0</v>
      </c>
      <c r="N126" s="115"/>
      <c r="O126" s="54">
        <f t="shared" si="45"/>
        <v>0</v>
      </c>
      <c r="P126" s="54">
        <f t="shared" si="46"/>
        <v>0</v>
      </c>
    </row>
    <row r="127" spans="2:16">
      <c r="B127" s="7" t="str">
        <f t="shared" si="47"/>
        <v/>
      </c>
      <c r="C127" s="50">
        <f>IF(D93="","-",+C126+1)</f>
        <v>2037</v>
      </c>
      <c r="D127" s="12">
        <f>IF(F126+SUM(E$99:E126)=D$92,F126,D$92-SUM(E$99:E126))</f>
        <v>297864</v>
      </c>
      <c r="E127" s="355">
        <f>IF(+J96&lt;F126,J96,D127)</f>
        <v>24158</v>
      </c>
      <c r="F127" s="55">
        <f t="shared" si="76"/>
        <v>273706</v>
      </c>
      <c r="G127" s="55">
        <f t="shared" si="77"/>
        <v>285785</v>
      </c>
      <c r="H127" s="355">
        <f t="shared" si="78"/>
        <v>58343.912253731723</v>
      </c>
      <c r="I127" s="381">
        <f t="shared" si="79"/>
        <v>58343.912253731723</v>
      </c>
      <c r="J127" s="54">
        <f t="shared" si="41"/>
        <v>0</v>
      </c>
      <c r="K127" s="54"/>
      <c r="L127" s="115"/>
      <c r="M127" s="54">
        <f t="shared" si="43"/>
        <v>0</v>
      </c>
      <c r="N127" s="115"/>
      <c r="O127" s="54">
        <f t="shared" si="45"/>
        <v>0</v>
      </c>
      <c r="P127" s="54">
        <f t="shared" si="46"/>
        <v>0</v>
      </c>
    </row>
    <row r="128" spans="2:16">
      <c r="B128" s="7" t="str">
        <f t="shared" si="47"/>
        <v/>
      </c>
      <c r="C128" s="50">
        <f>IF(D93="","-",+C127+1)</f>
        <v>2038</v>
      </c>
      <c r="D128" s="12">
        <f>IF(F127+SUM(E$99:E127)=D$92,F127,D$92-SUM(E$99:E127))</f>
        <v>273706</v>
      </c>
      <c r="E128" s="355">
        <f>IF(+J96&lt;F127,J96,D128)</f>
        <v>24158</v>
      </c>
      <c r="F128" s="55">
        <f t="shared" si="76"/>
        <v>249548</v>
      </c>
      <c r="G128" s="55">
        <f t="shared" si="77"/>
        <v>261627</v>
      </c>
      <c r="H128" s="355">
        <f t="shared" si="78"/>
        <v>55454.106041979358</v>
      </c>
      <c r="I128" s="381">
        <f t="shared" si="79"/>
        <v>55454.106041979358</v>
      </c>
      <c r="J128" s="54">
        <f t="shared" si="41"/>
        <v>0</v>
      </c>
      <c r="K128" s="54"/>
      <c r="L128" s="115"/>
      <c r="M128" s="54">
        <f t="shared" si="43"/>
        <v>0</v>
      </c>
      <c r="N128" s="115"/>
      <c r="O128" s="54">
        <f t="shared" si="45"/>
        <v>0</v>
      </c>
      <c r="P128" s="54">
        <f t="shared" si="46"/>
        <v>0</v>
      </c>
    </row>
    <row r="129" spans="2:16">
      <c r="B129" s="7" t="str">
        <f t="shared" si="47"/>
        <v/>
      </c>
      <c r="C129" s="50">
        <f>IF(D93="","-",+C128+1)</f>
        <v>2039</v>
      </c>
      <c r="D129" s="12">
        <f>IF(F128+SUM(E$99:E128)=D$92,F128,D$92-SUM(E$99:E128))</f>
        <v>249548</v>
      </c>
      <c r="E129" s="355">
        <f>IF(+J96&lt;F128,J96,D129)</f>
        <v>24158</v>
      </c>
      <c r="F129" s="55">
        <f t="shared" si="76"/>
        <v>225390</v>
      </c>
      <c r="G129" s="55">
        <f t="shared" si="77"/>
        <v>237469</v>
      </c>
      <c r="H129" s="355">
        <f t="shared" si="78"/>
        <v>52564.299830226984</v>
      </c>
      <c r="I129" s="381">
        <f t="shared" si="79"/>
        <v>52564.299830226984</v>
      </c>
      <c r="J129" s="54">
        <f t="shared" si="41"/>
        <v>0</v>
      </c>
      <c r="K129" s="54"/>
      <c r="L129" s="115"/>
      <c r="M129" s="54">
        <f t="shared" si="43"/>
        <v>0</v>
      </c>
      <c r="N129" s="115"/>
      <c r="O129" s="54">
        <f t="shared" si="45"/>
        <v>0</v>
      </c>
      <c r="P129" s="54">
        <f t="shared" si="46"/>
        <v>0</v>
      </c>
    </row>
    <row r="130" spans="2:16">
      <c r="B130" s="7" t="str">
        <f t="shared" si="47"/>
        <v/>
      </c>
      <c r="C130" s="50">
        <f>IF(D93="","-",+C129+1)</f>
        <v>2040</v>
      </c>
      <c r="D130" s="12">
        <f>IF(F129+SUM(E$99:E129)=D$92,F129,D$92-SUM(E$99:E129))</f>
        <v>225390</v>
      </c>
      <c r="E130" s="355">
        <f>IF(+J96&lt;F129,J96,D130)</f>
        <v>24158</v>
      </c>
      <c r="F130" s="55">
        <f t="shared" si="76"/>
        <v>201232</v>
      </c>
      <c r="G130" s="55">
        <f t="shared" si="77"/>
        <v>213311</v>
      </c>
      <c r="H130" s="355">
        <f t="shared" si="78"/>
        <v>49674.493618474618</v>
      </c>
      <c r="I130" s="381">
        <f t="shared" si="79"/>
        <v>49674.493618474618</v>
      </c>
      <c r="J130" s="54">
        <f t="shared" si="41"/>
        <v>0</v>
      </c>
      <c r="K130" s="54"/>
      <c r="L130" s="115"/>
      <c r="M130" s="54">
        <f t="shared" si="43"/>
        <v>0</v>
      </c>
      <c r="N130" s="115"/>
      <c r="O130" s="54">
        <f t="shared" si="45"/>
        <v>0</v>
      </c>
      <c r="P130" s="54">
        <f t="shared" si="46"/>
        <v>0</v>
      </c>
    </row>
    <row r="131" spans="2:16">
      <c r="B131" s="7" t="str">
        <f t="shared" si="47"/>
        <v/>
      </c>
      <c r="C131" s="50">
        <f>IF(D93="","-",+C130+1)</f>
        <v>2041</v>
      </c>
      <c r="D131" s="12">
        <f>IF(F130+SUM(E$99:E130)=D$92,F130,D$92-SUM(E$99:E130))</f>
        <v>201232</v>
      </c>
      <c r="E131" s="355">
        <f>IF(+J96&lt;F130,J96,D131)</f>
        <v>24158</v>
      </c>
      <c r="F131" s="55">
        <f t="shared" ref="F131:F154" si="80">+D131-E131</f>
        <v>177074</v>
      </c>
      <c r="G131" s="55">
        <f t="shared" ref="G131:G154" si="81">+(F131+D131)/2</f>
        <v>189153</v>
      </c>
      <c r="H131" s="355">
        <f t="shared" si="78"/>
        <v>46784.687406722245</v>
      </c>
      <c r="I131" s="381">
        <f t="shared" si="79"/>
        <v>46784.687406722245</v>
      </c>
      <c r="J131" s="54">
        <f t="shared" ref="J131:J154" si="82">+I131-H131</f>
        <v>0</v>
      </c>
      <c r="K131" s="54"/>
      <c r="L131" s="115"/>
      <c r="M131" s="54">
        <f t="shared" ref="M131:M154" si="83">IF(L131&lt;&gt;0,+H131-L131,0)</f>
        <v>0</v>
      </c>
      <c r="N131" s="115"/>
      <c r="O131" s="54">
        <f t="shared" ref="O131:O154" si="84">IF(N131&lt;&gt;0,+I131-N131,0)</f>
        <v>0</v>
      </c>
      <c r="P131" s="54">
        <f t="shared" ref="P131:P154" si="85">+O131-M131</f>
        <v>0</v>
      </c>
    </row>
    <row r="132" spans="2:16">
      <c r="B132" s="7" t="str">
        <f t="shared" si="47"/>
        <v/>
      </c>
      <c r="C132" s="50">
        <f>IF(D93="","-",+C131+1)</f>
        <v>2042</v>
      </c>
      <c r="D132" s="12">
        <f>IF(F131+SUM(E$99:E131)=D$92,F131,D$92-SUM(E$99:E131))</f>
        <v>177074</v>
      </c>
      <c r="E132" s="355">
        <f>IF(+J96&lt;F131,J96,D132)</f>
        <v>24158</v>
      </c>
      <c r="F132" s="55">
        <f t="shared" si="80"/>
        <v>152916</v>
      </c>
      <c r="G132" s="55">
        <f t="shared" si="81"/>
        <v>164995</v>
      </c>
      <c r="H132" s="355">
        <f t="shared" si="78"/>
        <v>43894.881194969872</v>
      </c>
      <c r="I132" s="381">
        <f t="shared" ref="I132:I154" si="86">+J$95*G132+E132</f>
        <v>43894.881194969872</v>
      </c>
      <c r="J132" s="54">
        <f t="shared" si="82"/>
        <v>0</v>
      </c>
      <c r="K132" s="54"/>
      <c r="L132" s="115"/>
      <c r="M132" s="54">
        <f t="shared" si="83"/>
        <v>0</v>
      </c>
      <c r="N132" s="115"/>
      <c r="O132" s="54">
        <f t="shared" si="84"/>
        <v>0</v>
      </c>
      <c r="P132" s="54">
        <f t="shared" si="85"/>
        <v>0</v>
      </c>
    </row>
    <row r="133" spans="2:16">
      <c r="B133" s="7" t="str">
        <f t="shared" si="47"/>
        <v/>
      </c>
      <c r="C133" s="50">
        <f>IF(D93="","-",+C132+1)</f>
        <v>2043</v>
      </c>
      <c r="D133" s="12">
        <f>IF(F132+SUM(E$99:E132)=D$92,F132,D$92-SUM(E$99:E132))</f>
        <v>152916</v>
      </c>
      <c r="E133" s="355">
        <f>IF(+J96&lt;F132,J96,D133)</f>
        <v>24158</v>
      </c>
      <c r="F133" s="55">
        <f t="shared" si="80"/>
        <v>128758</v>
      </c>
      <c r="G133" s="55">
        <f t="shared" si="81"/>
        <v>140837</v>
      </c>
      <c r="H133" s="355">
        <f t="shared" si="78"/>
        <v>41005.074983217506</v>
      </c>
      <c r="I133" s="381">
        <f t="shared" si="86"/>
        <v>41005.074983217506</v>
      </c>
      <c r="J133" s="54">
        <f t="shared" si="82"/>
        <v>0</v>
      </c>
      <c r="K133" s="54"/>
      <c r="L133" s="115"/>
      <c r="M133" s="54">
        <f t="shared" si="83"/>
        <v>0</v>
      </c>
      <c r="N133" s="115"/>
      <c r="O133" s="54">
        <f t="shared" si="84"/>
        <v>0</v>
      </c>
      <c r="P133" s="54">
        <f t="shared" si="85"/>
        <v>0</v>
      </c>
    </row>
    <row r="134" spans="2:16">
      <c r="B134" s="7" t="str">
        <f t="shared" si="47"/>
        <v/>
      </c>
      <c r="C134" s="50">
        <f>IF(D93="","-",+C133+1)</f>
        <v>2044</v>
      </c>
      <c r="D134" s="12">
        <f>IF(F133+SUM(E$99:E133)=D$92,F133,D$92-SUM(E$99:E133))</f>
        <v>128758</v>
      </c>
      <c r="E134" s="355">
        <f>IF(+J96&lt;F133,J96,D134)</f>
        <v>24158</v>
      </c>
      <c r="F134" s="55">
        <f t="shared" si="80"/>
        <v>104600</v>
      </c>
      <c r="G134" s="55">
        <f t="shared" si="81"/>
        <v>116679</v>
      </c>
      <c r="H134" s="355">
        <f t="shared" si="78"/>
        <v>38115.26877146514</v>
      </c>
      <c r="I134" s="381">
        <f t="shared" si="86"/>
        <v>38115.26877146514</v>
      </c>
      <c r="J134" s="54">
        <f t="shared" si="82"/>
        <v>0</v>
      </c>
      <c r="K134" s="54"/>
      <c r="L134" s="115"/>
      <c r="M134" s="54">
        <f t="shared" si="83"/>
        <v>0</v>
      </c>
      <c r="N134" s="115"/>
      <c r="O134" s="54">
        <f t="shared" si="84"/>
        <v>0</v>
      </c>
      <c r="P134" s="54">
        <f t="shared" si="85"/>
        <v>0</v>
      </c>
    </row>
    <row r="135" spans="2:16">
      <c r="B135" s="7" t="str">
        <f t="shared" si="47"/>
        <v/>
      </c>
      <c r="C135" s="50">
        <f>IF(D93="","-",+C134+1)</f>
        <v>2045</v>
      </c>
      <c r="D135" s="12">
        <f>IF(F134+SUM(E$99:E134)=D$92,F134,D$92-SUM(E$99:E134))</f>
        <v>104600</v>
      </c>
      <c r="E135" s="355">
        <f>IF(+J96&lt;F134,J96,D135)</f>
        <v>24158</v>
      </c>
      <c r="F135" s="55">
        <f t="shared" si="80"/>
        <v>80442</v>
      </c>
      <c r="G135" s="55">
        <f t="shared" si="81"/>
        <v>92521</v>
      </c>
      <c r="H135" s="355">
        <f t="shared" si="78"/>
        <v>35225.462559712767</v>
      </c>
      <c r="I135" s="381">
        <f t="shared" si="86"/>
        <v>35225.462559712767</v>
      </c>
      <c r="J135" s="54">
        <f t="shared" si="82"/>
        <v>0</v>
      </c>
      <c r="K135" s="54"/>
      <c r="L135" s="115"/>
      <c r="M135" s="54">
        <f t="shared" si="83"/>
        <v>0</v>
      </c>
      <c r="N135" s="115"/>
      <c r="O135" s="54">
        <f t="shared" si="84"/>
        <v>0</v>
      </c>
      <c r="P135" s="54">
        <f t="shared" si="85"/>
        <v>0</v>
      </c>
    </row>
    <row r="136" spans="2:16">
      <c r="B136" s="7" t="str">
        <f t="shared" si="47"/>
        <v/>
      </c>
      <c r="C136" s="50">
        <f>IF(D93="","-",+C135+1)</f>
        <v>2046</v>
      </c>
      <c r="D136" s="12">
        <f>IF(F135+SUM(E$99:E135)=D$92,F135,D$92-SUM(E$99:E135))</f>
        <v>80442</v>
      </c>
      <c r="E136" s="355">
        <f>IF(+J96&lt;F135,J96,D136)</f>
        <v>24158</v>
      </c>
      <c r="F136" s="55">
        <f t="shared" si="80"/>
        <v>56284</v>
      </c>
      <c r="G136" s="55">
        <f t="shared" si="81"/>
        <v>68363</v>
      </c>
      <c r="H136" s="355">
        <f t="shared" si="78"/>
        <v>32335.656347960397</v>
      </c>
      <c r="I136" s="381">
        <f t="shared" si="86"/>
        <v>32335.656347960397</v>
      </c>
      <c r="J136" s="54">
        <f t="shared" si="82"/>
        <v>0</v>
      </c>
      <c r="K136" s="54"/>
      <c r="L136" s="115"/>
      <c r="M136" s="54">
        <f t="shared" si="83"/>
        <v>0</v>
      </c>
      <c r="N136" s="115"/>
      <c r="O136" s="54">
        <f t="shared" si="84"/>
        <v>0</v>
      </c>
      <c r="P136" s="54">
        <f t="shared" si="85"/>
        <v>0</v>
      </c>
    </row>
    <row r="137" spans="2:16">
      <c r="B137" s="7" t="str">
        <f t="shared" si="47"/>
        <v/>
      </c>
      <c r="C137" s="50">
        <f>IF(D93="","-",+C136+1)</f>
        <v>2047</v>
      </c>
      <c r="D137" s="12">
        <f>IF(F136+SUM(E$99:E136)=D$92,F136,D$92-SUM(E$99:E136))</f>
        <v>56284</v>
      </c>
      <c r="E137" s="355">
        <f>IF(+J96&lt;F136,J96,D137)</f>
        <v>24158</v>
      </c>
      <c r="F137" s="55">
        <f t="shared" si="80"/>
        <v>32126</v>
      </c>
      <c r="G137" s="55">
        <f t="shared" si="81"/>
        <v>44205</v>
      </c>
      <c r="H137" s="355">
        <f t="shared" si="78"/>
        <v>29445.850136208028</v>
      </c>
      <c r="I137" s="381">
        <f t="shared" si="86"/>
        <v>29445.850136208028</v>
      </c>
      <c r="J137" s="54">
        <f t="shared" si="82"/>
        <v>0</v>
      </c>
      <c r="K137" s="54"/>
      <c r="L137" s="115"/>
      <c r="M137" s="54">
        <f t="shared" si="83"/>
        <v>0</v>
      </c>
      <c r="N137" s="115"/>
      <c r="O137" s="54">
        <f t="shared" si="84"/>
        <v>0</v>
      </c>
      <c r="P137" s="54">
        <f t="shared" si="85"/>
        <v>0</v>
      </c>
    </row>
    <row r="138" spans="2:16">
      <c r="B138" s="7" t="str">
        <f t="shared" si="47"/>
        <v/>
      </c>
      <c r="C138" s="50">
        <f>IF(D93="","-",+C137+1)</f>
        <v>2048</v>
      </c>
      <c r="D138" s="12">
        <f>IF(F137+SUM(E$99:E137)=D$92,F137,D$92-SUM(E$99:E137))</f>
        <v>32126</v>
      </c>
      <c r="E138" s="355">
        <f>IF(+J96&lt;F137,J96,D138)</f>
        <v>24158</v>
      </c>
      <c r="F138" s="55">
        <f t="shared" si="80"/>
        <v>7968</v>
      </c>
      <c r="G138" s="55">
        <f t="shared" si="81"/>
        <v>20047</v>
      </c>
      <c r="H138" s="355">
        <f t="shared" si="78"/>
        <v>26556.043924455658</v>
      </c>
      <c r="I138" s="381">
        <f t="shared" si="86"/>
        <v>26556.043924455658</v>
      </c>
      <c r="J138" s="54">
        <f t="shared" si="82"/>
        <v>0</v>
      </c>
      <c r="K138" s="54"/>
      <c r="L138" s="115"/>
      <c r="M138" s="54">
        <f t="shared" si="83"/>
        <v>0</v>
      </c>
      <c r="N138" s="115"/>
      <c r="O138" s="54">
        <f t="shared" si="84"/>
        <v>0</v>
      </c>
      <c r="P138" s="54">
        <f t="shared" si="85"/>
        <v>0</v>
      </c>
    </row>
    <row r="139" spans="2:16">
      <c r="B139" s="7" t="str">
        <f t="shared" si="47"/>
        <v/>
      </c>
      <c r="C139" s="50">
        <f>IF(D93="","-",+C138+1)</f>
        <v>2049</v>
      </c>
      <c r="D139" s="12">
        <f>IF(F138+SUM(E$99:E138)=D$92,F138,D$92-SUM(E$99:E138))</f>
        <v>7968</v>
      </c>
      <c r="E139" s="355">
        <f>IF(+J96&lt;F138,J96,D139)</f>
        <v>7968</v>
      </c>
      <c r="F139" s="55">
        <f t="shared" si="80"/>
        <v>0</v>
      </c>
      <c r="G139" s="55">
        <f t="shared" si="81"/>
        <v>3984</v>
      </c>
      <c r="H139" s="355">
        <f t="shared" si="78"/>
        <v>8444.5704092897358</v>
      </c>
      <c r="I139" s="381">
        <f t="shared" si="86"/>
        <v>8444.5704092897358</v>
      </c>
      <c r="J139" s="54">
        <f t="shared" si="82"/>
        <v>0</v>
      </c>
      <c r="K139" s="54"/>
      <c r="L139" s="115"/>
      <c r="M139" s="54">
        <f t="shared" si="83"/>
        <v>0</v>
      </c>
      <c r="N139" s="115"/>
      <c r="O139" s="54">
        <f t="shared" si="84"/>
        <v>0</v>
      </c>
      <c r="P139" s="54">
        <f t="shared" si="85"/>
        <v>0</v>
      </c>
    </row>
    <row r="140" spans="2:16">
      <c r="B140" s="7" t="str">
        <f t="shared" si="47"/>
        <v/>
      </c>
      <c r="C140" s="50">
        <f>IF(D93="","-",+C139+1)</f>
        <v>2050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80"/>
        <v>0</v>
      </c>
      <c r="G140" s="55">
        <f t="shared" si="81"/>
        <v>0</v>
      </c>
      <c r="H140" s="355">
        <f t="shared" si="78"/>
        <v>0</v>
      </c>
      <c r="I140" s="381">
        <f t="shared" si="86"/>
        <v>0</v>
      </c>
      <c r="J140" s="54">
        <f t="shared" si="82"/>
        <v>0</v>
      </c>
      <c r="K140" s="54"/>
      <c r="L140" s="115"/>
      <c r="M140" s="54">
        <f t="shared" si="83"/>
        <v>0</v>
      </c>
      <c r="N140" s="115"/>
      <c r="O140" s="54">
        <f t="shared" si="84"/>
        <v>0</v>
      </c>
      <c r="P140" s="54">
        <f t="shared" si="85"/>
        <v>0</v>
      </c>
    </row>
    <row r="141" spans="2:16">
      <c r="B141" s="7" t="str">
        <f t="shared" si="47"/>
        <v/>
      </c>
      <c r="C141" s="50">
        <f>IF(D93="","-",+C140+1)</f>
        <v>2051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80"/>
        <v>0</v>
      </c>
      <c r="G141" s="55">
        <f t="shared" si="81"/>
        <v>0</v>
      </c>
      <c r="H141" s="355">
        <f t="shared" si="78"/>
        <v>0</v>
      </c>
      <c r="I141" s="381">
        <f t="shared" si="86"/>
        <v>0</v>
      </c>
      <c r="J141" s="54">
        <f t="shared" si="82"/>
        <v>0</v>
      </c>
      <c r="K141" s="54"/>
      <c r="L141" s="115"/>
      <c r="M141" s="54">
        <f t="shared" si="83"/>
        <v>0</v>
      </c>
      <c r="N141" s="115"/>
      <c r="O141" s="54">
        <f t="shared" si="84"/>
        <v>0</v>
      </c>
      <c r="P141" s="54">
        <f t="shared" si="85"/>
        <v>0</v>
      </c>
    </row>
    <row r="142" spans="2:16">
      <c r="B142" s="7" t="str">
        <f t="shared" si="47"/>
        <v/>
      </c>
      <c r="C142" s="50">
        <f>IF(D93="","-",+C141+1)</f>
        <v>2052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80"/>
        <v>0</v>
      </c>
      <c r="G142" s="55">
        <f t="shared" si="81"/>
        <v>0</v>
      </c>
      <c r="H142" s="355">
        <f t="shared" si="78"/>
        <v>0</v>
      </c>
      <c r="I142" s="381">
        <f t="shared" si="86"/>
        <v>0</v>
      </c>
      <c r="J142" s="54">
        <f t="shared" si="82"/>
        <v>0</v>
      </c>
      <c r="K142" s="54"/>
      <c r="L142" s="115"/>
      <c r="M142" s="54">
        <f t="shared" si="83"/>
        <v>0</v>
      </c>
      <c r="N142" s="115"/>
      <c r="O142" s="54">
        <f t="shared" si="84"/>
        <v>0</v>
      </c>
      <c r="P142" s="54">
        <f t="shared" si="85"/>
        <v>0</v>
      </c>
    </row>
    <row r="143" spans="2:16">
      <c r="B143" s="7" t="str">
        <f t="shared" si="47"/>
        <v/>
      </c>
      <c r="C143" s="50">
        <f>IF(D93="","-",+C142+1)</f>
        <v>2053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80"/>
        <v>0</v>
      </c>
      <c r="G143" s="55">
        <f t="shared" si="81"/>
        <v>0</v>
      </c>
      <c r="H143" s="355">
        <f t="shared" si="78"/>
        <v>0</v>
      </c>
      <c r="I143" s="381">
        <f t="shared" si="86"/>
        <v>0</v>
      </c>
      <c r="J143" s="54">
        <f t="shared" si="82"/>
        <v>0</v>
      </c>
      <c r="K143" s="54"/>
      <c r="L143" s="115"/>
      <c r="M143" s="54">
        <f t="shared" si="83"/>
        <v>0</v>
      </c>
      <c r="N143" s="115"/>
      <c r="O143" s="54">
        <f t="shared" si="84"/>
        <v>0</v>
      </c>
      <c r="P143" s="54">
        <f t="shared" si="85"/>
        <v>0</v>
      </c>
    </row>
    <row r="144" spans="2:16">
      <c r="B144" s="7" t="str">
        <f t="shared" si="47"/>
        <v/>
      </c>
      <c r="C144" s="50">
        <f>IF(D93="","-",+C143+1)</f>
        <v>2054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80"/>
        <v>0</v>
      </c>
      <c r="G144" s="55">
        <f t="shared" si="81"/>
        <v>0</v>
      </c>
      <c r="H144" s="355">
        <f t="shared" si="78"/>
        <v>0</v>
      </c>
      <c r="I144" s="381">
        <f t="shared" si="86"/>
        <v>0</v>
      </c>
      <c r="J144" s="54">
        <f t="shared" si="82"/>
        <v>0</v>
      </c>
      <c r="K144" s="54"/>
      <c r="L144" s="115"/>
      <c r="M144" s="54">
        <f t="shared" si="83"/>
        <v>0</v>
      </c>
      <c r="N144" s="115"/>
      <c r="O144" s="54">
        <f t="shared" si="84"/>
        <v>0</v>
      </c>
      <c r="P144" s="54">
        <f t="shared" si="85"/>
        <v>0</v>
      </c>
    </row>
    <row r="145" spans="2:16">
      <c r="B145" s="7" t="str">
        <f t="shared" si="47"/>
        <v/>
      </c>
      <c r="C145" s="50">
        <f>IF(D93="","-",+C144+1)</f>
        <v>2055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80"/>
        <v>0</v>
      </c>
      <c r="G145" s="55">
        <f t="shared" si="81"/>
        <v>0</v>
      </c>
      <c r="H145" s="355">
        <f t="shared" si="78"/>
        <v>0</v>
      </c>
      <c r="I145" s="381">
        <f t="shared" si="86"/>
        <v>0</v>
      </c>
      <c r="J145" s="54">
        <f t="shared" si="82"/>
        <v>0</v>
      </c>
      <c r="K145" s="54"/>
      <c r="L145" s="115"/>
      <c r="M145" s="54">
        <f t="shared" si="83"/>
        <v>0</v>
      </c>
      <c r="N145" s="115"/>
      <c r="O145" s="54">
        <f t="shared" si="84"/>
        <v>0</v>
      </c>
      <c r="P145" s="54">
        <f t="shared" si="85"/>
        <v>0</v>
      </c>
    </row>
    <row r="146" spans="2:16">
      <c r="B146" s="7" t="str">
        <f t="shared" si="47"/>
        <v/>
      </c>
      <c r="C146" s="50">
        <f>IF(D93="","-",+C145+1)</f>
        <v>2056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80"/>
        <v>0</v>
      </c>
      <c r="G146" s="55">
        <f t="shared" si="81"/>
        <v>0</v>
      </c>
      <c r="H146" s="355">
        <f t="shared" si="78"/>
        <v>0</v>
      </c>
      <c r="I146" s="381">
        <f t="shared" si="86"/>
        <v>0</v>
      </c>
      <c r="J146" s="54">
        <f t="shared" si="82"/>
        <v>0</v>
      </c>
      <c r="K146" s="54"/>
      <c r="L146" s="115"/>
      <c r="M146" s="54">
        <f t="shared" si="83"/>
        <v>0</v>
      </c>
      <c r="N146" s="115"/>
      <c r="O146" s="54">
        <f t="shared" si="84"/>
        <v>0</v>
      </c>
      <c r="P146" s="54">
        <f t="shared" si="85"/>
        <v>0</v>
      </c>
    </row>
    <row r="147" spans="2:16">
      <c r="B147" s="7" t="str">
        <f t="shared" si="47"/>
        <v/>
      </c>
      <c r="C147" s="50">
        <f>IF(D93="","-",+C146+1)</f>
        <v>2057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80"/>
        <v>0</v>
      </c>
      <c r="G147" s="55">
        <f t="shared" si="81"/>
        <v>0</v>
      </c>
      <c r="H147" s="355">
        <f t="shared" si="78"/>
        <v>0</v>
      </c>
      <c r="I147" s="381">
        <f t="shared" si="86"/>
        <v>0</v>
      </c>
      <c r="J147" s="54">
        <f t="shared" si="82"/>
        <v>0</v>
      </c>
      <c r="K147" s="54"/>
      <c r="L147" s="115"/>
      <c r="M147" s="54">
        <f t="shared" si="83"/>
        <v>0</v>
      </c>
      <c r="N147" s="115"/>
      <c r="O147" s="54">
        <f t="shared" si="84"/>
        <v>0</v>
      </c>
      <c r="P147" s="54">
        <f t="shared" si="85"/>
        <v>0</v>
      </c>
    </row>
    <row r="148" spans="2:16">
      <c r="B148" s="7" t="str">
        <f t="shared" si="47"/>
        <v/>
      </c>
      <c r="C148" s="50">
        <f>IF(D93="","-",+C147+1)</f>
        <v>2058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80"/>
        <v>0</v>
      </c>
      <c r="G148" s="55">
        <f t="shared" si="81"/>
        <v>0</v>
      </c>
      <c r="H148" s="355">
        <f t="shared" si="78"/>
        <v>0</v>
      </c>
      <c r="I148" s="381">
        <f t="shared" si="86"/>
        <v>0</v>
      </c>
      <c r="J148" s="54">
        <f t="shared" si="82"/>
        <v>0</v>
      </c>
      <c r="K148" s="54"/>
      <c r="L148" s="115"/>
      <c r="M148" s="54">
        <f t="shared" si="83"/>
        <v>0</v>
      </c>
      <c r="N148" s="115"/>
      <c r="O148" s="54">
        <f t="shared" si="84"/>
        <v>0</v>
      </c>
      <c r="P148" s="54">
        <f t="shared" si="85"/>
        <v>0</v>
      </c>
    </row>
    <row r="149" spans="2:16">
      <c r="B149" s="7" t="str">
        <f t="shared" si="47"/>
        <v/>
      </c>
      <c r="C149" s="50">
        <f>IF(D93="","-",+C148+1)</f>
        <v>2059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80"/>
        <v>0</v>
      </c>
      <c r="G149" s="55">
        <f t="shared" si="81"/>
        <v>0</v>
      </c>
      <c r="H149" s="355">
        <f t="shared" si="78"/>
        <v>0</v>
      </c>
      <c r="I149" s="381">
        <f t="shared" si="86"/>
        <v>0</v>
      </c>
      <c r="J149" s="54">
        <f t="shared" si="82"/>
        <v>0</v>
      </c>
      <c r="K149" s="54"/>
      <c r="L149" s="115"/>
      <c r="M149" s="54">
        <f t="shared" si="83"/>
        <v>0</v>
      </c>
      <c r="N149" s="115"/>
      <c r="O149" s="54">
        <f t="shared" si="84"/>
        <v>0</v>
      </c>
      <c r="P149" s="54">
        <f t="shared" si="85"/>
        <v>0</v>
      </c>
    </row>
    <row r="150" spans="2:16">
      <c r="B150" s="7" t="str">
        <f t="shared" si="47"/>
        <v/>
      </c>
      <c r="C150" s="50">
        <f>IF(D93="","-",+C149+1)</f>
        <v>2060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80"/>
        <v>0</v>
      </c>
      <c r="G150" s="55">
        <f t="shared" si="81"/>
        <v>0</v>
      </c>
      <c r="H150" s="355">
        <f t="shared" si="78"/>
        <v>0</v>
      </c>
      <c r="I150" s="381">
        <f t="shared" si="86"/>
        <v>0</v>
      </c>
      <c r="J150" s="54">
        <f t="shared" si="82"/>
        <v>0</v>
      </c>
      <c r="K150" s="54"/>
      <c r="L150" s="115"/>
      <c r="M150" s="54">
        <f t="shared" si="83"/>
        <v>0</v>
      </c>
      <c r="N150" s="115"/>
      <c r="O150" s="54">
        <f t="shared" si="84"/>
        <v>0</v>
      </c>
      <c r="P150" s="54">
        <f t="shared" si="85"/>
        <v>0</v>
      </c>
    </row>
    <row r="151" spans="2:16">
      <c r="B151" s="7" t="str">
        <f t="shared" si="47"/>
        <v/>
      </c>
      <c r="C151" s="50">
        <f>IF(D93="","-",+C150+1)</f>
        <v>2061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80"/>
        <v>0</v>
      </c>
      <c r="G151" s="55">
        <f t="shared" si="81"/>
        <v>0</v>
      </c>
      <c r="H151" s="355">
        <f t="shared" si="78"/>
        <v>0</v>
      </c>
      <c r="I151" s="381">
        <f t="shared" si="86"/>
        <v>0</v>
      </c>
      <c r="J151" s="54">
        <f t="shared" si="82"/>
        <v>0</v>
      </c>
      <c r="K151" s="54"/>
      <c r="L151" s="115"/>
      <c r="M151" s="54">
        <f t="shared" si="83"/>
        <v>0</v>
      </c>
      <c r="N151" s="115"/>
      <c r="O151" s="54">
        <f t="shared" si="84"/>
        <v>0</v>
      </c>
      <c r="P151" s="54">
        <f t="shared" si="85"/>
        <v>0</v>
      </c>
    </row>
    <row r="152" spans="2:16">
      <c r="B152" s="7" t="str">
        <f t="shared" si="47"/>
        <v/>
      </c>
      <c r="C152" s="50">
        <f>IF(D93="","-",+C151+1)</f>
        <v>2062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80"/>
        <v>0</v>
      </c>
      <c r="G152" s="55">
        <f t="shared" si="81"/>
        <v>0</v>
      </c>
      <c r="H152" s="355">
        <f t="shared" si="78"/>
        <v>0</v>
      </c>
      <c r="I152" s="381">
        <f t="shared" si="86"/>
        <v>0</v>
      </c>
      <c r="J152" s="54">
        <f t="shared" si="82"/>
        <v>0</v>
      </c>
      <c r="K152" s="54"/>
      <c r="L152" s="115"/>
      <c r="M152" s="54">
        <f t="shared" si="83"/>
        <v>0</v>
      </c>
      <c r="N152" s="115"/>
      <c r="O152" s="54">
        <f t="shared" si="84"/>
        <v>0</v>
      </c>
      <c r="P152" s="54">
        <f t="shared" si="85"/>
        <v>0</v>
      </c>
    </row>
    <row r="153" spans="2:16">
      <c r="B153" s="7" t="str">
        <f t="shared" si="47"/>
        <v/>
      </c>
      <c r="C153" s="50">
        <f>IF(D93="","-",+C152+1)</f>
        <v>2063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80"/>
        <v>0</v>
      </c>
      <c r="G153" s="55">
        <f t="shared" si="81"/>
        <v>0</v>
      </c>
      <c r="H153" s="355">
        <f t="shared" si="78"/>
        <v>0</v>
      </c>
      <c r="I153" s="381">
        <f t="shared" si="86"/>
        <v>0</v>
      </c>
      <c r="J153" s="54">
        <f t="shared" si="82"/>
        <v>0</v>
      </c>
      <c r="K153" s="54"/>
      <c r="L153" s="115"/>
      <c r="M153" s="54">
        <f t="shared" si="83"/>
        <v>0</v>
      </c>
      <c r="N153" s="115"/>
      <c r="O153" s="54">
        <f t="shared" si="84"/>
        <v>0</v>
      </c>
      <c r="P153" s="54">
        <f t="shared" si="85"/>
        <v>0</v>
      </c>
    </row>
    <row r="154" spans="2:16" ht="13.5" thickBot="1">
      <c r="B154" s="7" t="str">
        <f t="shared" si="47"/>
        <v/>
      </c>
      <c r="C154" s="58">
        <f>IF(D93="","-",+C153+1)</f>
        <v>2064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80"/>
        <v>0</v>
      </c>
      <c r="G154" s="59">
        <f t="shared" si="81"/>
        <v>0</v>
      </c>
      <c r="H154" s="59">
        <f t="shared" si="78"/>
        <v>0</v>
      </c>
      <c r="I154" s="383">
        <f t="shared" si="86"/>
        <v>0</v>
      </c>
      <c r="J154" s="62">
        <f t="shared" si="82"/>
        <v>0</v>
      </c>
      <c r="K154" s="54"/>
      <c r="L154" s="116"/>
      <c r="M154" s="62">
        <f t="shared" si="83"/>
        <v>0</v>
      </c>
      <c r="N154" s="116"/>
      <c r="O154" s="62">
        <f t="shared" si="84"/>
        <v>0</v>
      </c>
      <c r="P154" s="62">
        <f t="shared" si="85"/>
        <v>0</v>
      </c>
    </row>
    <row r="155" spans="2:16">
      <c r="C155" s="12" t="s">
        <v>77</v>
      </c>
      <c r="D155" s="266"/>
      <c r="E155" s="266">
        <f>SUM(E99:E154)</f>
        <v>893858</v>
      </c>
      <c r="F155" s="266"/>
      <c r="G155" s="266"/>
      <c r="H155" s="266">
        <f>SUM(H99:H154)</f>
        <v>3259806.1620394415</v>
      </c>
      <c r="I155" s="266">
        <f>SUM(I99:I154)</f>
        <v>3259806.1620394415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 t="s">
        <v>100</v>
      </c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30" t="s">
        <v>107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78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 t="s">
        <v>79</v>
      </c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384" t="s">
        <v>145</v>
      </c>
    </row>
  </sheetData>
  <phoneticPr fontId="0" type="noConversion"/>
  <conditionalFormatting sqref="C17:C72">
    <cfRule type="cellIs" dxfId="73" priority="1" stopIfTrue="1" operator="equal">
      <formula>$I$10</formula>
    </cfRule>
  </conditionalFormatting>
  <conditionalFormatting sqref="C99:C154">
    <cfRule type="cellIs" dxfId="7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58"/>
  <dimension ref="A1:P162"/>
  <sheetViews>
    <sheetView view="pageBreakPreview" zoomScale="78" zoomScaleNormal="100" zoomScaleSheetLayoutView="78" workbookViewId="0">
      <selection activeCell="I33" sqref="I3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nk of 36</v>
      </c>
    </row>
    <row r="2" spans="1:16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5.75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279</v>
      </c>
      <c r="L5" s="18"/>
      <c r="M5" s="19"/>
      <c r="N5" s="20">
        <f>VLOOKUP(I10,C17:I72,5)</f>
        <v>0</v>
      </c>
      <c r="P5" s="1"/>
    </row>
    <row r="6" spans="1:16" ht="15.75">
      <c r="C6" s="6"/>
      <c r="D6" s="2"/>
      <c r="E6" s="1"/>
      <c r="F6" s="1"/>
      <c r="G6" s="1"/>
      <c r="H6" s="21"/>
      <c r="I6" s="21"/>
      <c r="J6" s="22"/>
      <c r="K6" s="23" t="s">
        <v>280</v>
      </c>
      <c r="L6" s="24"/>
      <c r="M6" s="1"/>
      <c r="N6" s="25">
        <f>VLOOKUP(I10,C17:I72,6)</f>
        <v>0</v>
      </c>
      <c r="O6" s="1"/>
      <c r="P6" s="1"/>
    </row>
    <row r="7" spans="1:16" ht="13.5" thickBot="1">
      <c r="C7" s="26" t="s">
        <v>46</v>
      </c>
      <c r="D7" s="88" t="s">
        <v>108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/>
      <c r="E9" s="32"/>
      <c r="F9" s="32"/>
      <c r="G9" s="32"/>
      <c r="H9" s="32"/>
      <c r="I9" s="33"/>
      <c r="J9" s="34"/>
      <c r="P9" s="1"/>
    </row>
    <row r="10" spans="1:16">
      <c r="C10" s="128" t="s">
        <v>226</v>
      </c>
      <c r="D10" s="35"/>
      <c r="E10" s="1" t="s">
        <v>51</v>
      </c>
      <c r="G10" s="2"/>
      <c r="H10" s="2"/>
      <c r="I10" s="36">
        <f>+'PSO.WS.F.BPU.ATRR.Projected'!L19</f>
        <v>2025</v>
      </c>
      <c r="J10" s="34"/>
      <c r="K10" s="14" t="s">
        <v>52</v>
      </c>
      <c r="O10" s="1"/>
      <c r="P10" s="1"/>
    </row>
    <row r="11" spans="1:16">
      <c r="C11" s="37" t="s">
        <v>53</v>
      </c>
      <c r="D11" s="38">
        <v>2017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5">
        <v>4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14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0</v>
      </c>
      <c r="J14" s="14"/>
      <c r="K14" s="14"/>
      <c r="L14" s="14"/>
      <c r="M14" s="14"/>
      <c r="N14" s="14"/>
      <c r="O14" s="1"/>
      <c r="P14" s="1"/>
    </row>
    <row r="15" spans="1:16" ht="38.25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281</v>
      </c>
      <c r="H15" s="126" t="s">
        <v>282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>
      <c r="B17" s="7"/>
      <c r="C17" s="50">
        <f>IF(D11= "","-",D11)</f>
        <v>2017</v>
      </c>
      <c r="D17" s="12">
        <v>0</v>
      </c>
      <c r="E17" s="51">
        <f>IF(D10&gt;=100000,I$14/12*(12-D12),0)</f>
        <v>0</v>
      </c>
      <c r="F17" s="55">
        <f>IF(D11=C17,+D10-E17,+D17-E17)</f>
        <v>0</v>
      </c>
      <c r="G17" s="51">
        <f>(D17+F17)/2*I$12+E17</f>
        <v>0</v>
      </c>
      <c r="H17" s="42">
        <f>+(D17+F17)/2*I$13+E17</f>
        <v>0</v>
      </c>
      <c r="I17" s="52">
        <f>H17-G17</f>
        <v>0</v>
      </c>
      <c r="J17" s="52"/>
      <c r="K17" s="117"/>
      <c r="L17" s="53">
        <f t="shared" ref="L17:L48" si="0">IF(K17&lt;&gt;0,+G17-K17,0)</f>
        <v>0</v>
      </c>
      <c r="M17" s="117"/>
      <c r="N17" s="53">
        <f t="shared" ref="N17:N48" si="1">IF(M17&lt;&gt;0,+H17-M17,0)</f>
        <v>0</v>
      </c>
      <c r="O17" s="54">
        <f t="shared" ref="O17:O48" si="2">+N17-L17</f>
        <v>0</v>
      </c>
      <c r="P17" s="1"/>
    </row>
    <row r="18" spans="2:16">
      <c r="B18" s="7" t="str">
        <f>IF(D18=F17,"","IU")</f>
        <v/>
      </c>
      <c r="C18" s="50">
        <f>IF(D11="","-",+C17+1)</f>
        <v>2018</v>
      </c>
      <c r="D18" s="55">
        <f>IF(F17+SUM(E$17:E17)=D$10,F17,D$10-SUM(E$17:E17))</f>
        <v>0</v>
      </c>
      <c r="E18" s="56">
        <f>IF(+I$14&lt;F17,I$14,D18)</f>
        <v>0</v>
      </c>
      <c r="F18" s="55">
        <f>+D18-E18</f>
        <v>0</v>
      </c>
      <c r="G18" s="57">
        <f>(D18+F18)/2*I$12+E18</f>
        <v>0</v>
      </c>
      <c r="H18" s="42">
        <f>+(D18+F18)/2*I$13+E18</f>
        <v>0</v>
      </c>
      <c r="I18" s="52">
        <f>H18-G18</f>
        <v>0</v>
      </c>
      <c r="J18" s="52"/>
      <c r="K18" s="115"/>
      <c r="L18" s="54">
        <f t="shared" si="0"/>
        <v>0</v>
      </c>
      <c r="M18" s="115"/>
      <c r="N18" s="54">
        <f t="shared" si="1"/>
        <v>0</v>
      </c>
      <c r="O18" s="54">
        <f t="shared" si="2"/>
        <v>0</v>
      </c>
      <c r="P18" s="1"/>
    </row>
    <row r="19" spans="2:16">
      <c r="B19" s="7" t="str">
        <f>IF(D19=F18,"","IU")</f>
        <v/>
      </c>
      <c r="C19" s="50">
        <f>IF(D11="","-",+C18+1)</f>
        <v>2019</v>
      </c>
      <c r="D19" s="55">
        <f>IF(F18+SUM(E$17:E18)=D$10,F18,D$10-SUM(E$17:E18))</f>
        <v>0</v>
      </c>
      <c r="E19" s="56">
        <f t="shared" ref="E19:E71" si="3">IF(+I$14&lt;F18,I$14,D19)</f>
        <v>0</v>
      </c>
      <c r="F19" s="55">
        <f t="shared" ref="F19:F71" si="4">+D19-E19</f>
        <v>0</v>
      </c>
      <c r="G19" s="57">
        <f t="shared" ref="G19:G71" si="5">(D19+F19)/2*I$12+E19</f>
        <v>0</v>
      </c>
      <c r="H19" s="42">
        <f t="shared" ref="H19:H71" si="6">+(D19+F19)/2*I$13+E19</f>
        <v>0</v>
      </c>
      <c r="I19" s="52">
        <f t="shared" ref="I19:I71" si="7">H19-G19</f>
        <v>0</v>
      </c>
      <c r="J19" s="52"/>
      <c r="K19" s="115"/>
      <c r="L19" s="54">
        <f t="shared" si="0"/>
        <v>0</v>
      </c>
      <c r="M19" s="115"/>
      <c r="N19" s="54">
        <f t="shared" si="1"/>
        <v>0</v>
      </c>
      <c r="O19" s="54">
        <f t="shared" si="2"/>
        <v>0</v>
      </c>
      <c r="P19" s="1"/>
    </row>
    <row r="20" spans="2:16">
      <c r="B20" s="7" t="str">
        <f t="shared" ref="B20:B72" si="8">IF(D20=F19,"","IU")</f>
        <v/>
      </c>
      <c r="C20" s="50">
        <f>IF(D11="","-",+C19+1)</f>
        <v>2020</v>
      </c>
      <c r="D20" s="55">
        <f>IF(F19+SUM(E$17:E19)=D$10,F19,D$10-SUM(E$17:E19))</f>
        <v>0</v>
      </c>
      <c r="E20" s="56">
        <f t="shared" si="3"/>
        <v>0</v>
      </c>
      <c r="F20" s="55">
        <f t="shared" si="4"/>
        <v>0</v>
      </c>
      <c r="G20" s="57">
        <f t="shared" si="5"/>
        <v>0</v>
      </c>
      <c r="H20" s="42">
        <f t="shared" si="6"/>
        <v>0</v>
      </c>
      <c r="I20" s="52">
        <f t="shared" si="7"/>
        <v>0</v>
      </c>
      <c r="J20" s="52"/>
      <c r="K20" s="115"/>
      <c r="L20" s="54">
        <f t="shared" si="0"/>
        <v>0</v>
      </c>
      <c r="M20" s="115"/>
      <c r="N20" s="54">
        <f t="shared" si="1"/>
        <v>0</v>
      </c>
      <c r="O20" s="54">
        <f t="shared" si="2"/>
        <v>0</v>
      </c>
      <c r="P20" s="1"/>
    </row>
    <row r="21" spans="2:16">
      <c r="B21" s="7" t="str">
        <f t="shared" si="8"/>
        <v/>
      </c>
      <c r="C21" s="50">
        <f>IF(D11="","-",+C20+1)</f>
        <v>2021</v>
      </c>
      <c r="D21" s="55">
        <f>IF(F20+SUM(E$17:E20)=D$10,F20,D$10-SUM(E$17:E20))</f>
        <v>0</v>
      </c>
      <c r="E21" s="56">
        <f t="shared" si="3"/>
        <v>0</v>
      </c>
      <c r="F21" s="55">
        <f t="shared" si="4"/>
        <v>0</v>
      </c>
      <c r="G21" s="57">
        <f t="shared" si="5"/>
        <v>0</v>
      </c>
      <c r="H21" s="42">
        <f t="shared" si="6"/>
        <v>0</v>
      </c>
      <c r="I21" s="52">
        <f t="shared" si="7"/>
        <v>0</v>
      </c>
      <c r="J21" s="52"/>
      <c r="K21" s="115"/>
      <c r="L21" s="54">
        <f t="shared" si="0"/>
        <v>0</v>
      </c>
      <c r="M21" s="115"/>
      <c r="N21" s="54">
        <f t="shared" si="1"/>
        <v>0</v>
      </c>
      <c r="O21" s="54">
        <f t="shared" si="2"/>
        <v>0</v>
      </c>
      <c r="P21" s="1"/>
    </row>
    <row r="22" spans="2:16">
      <c r="B22" s="7" t="str">
        <f t="shared" si="8"/>
        <v/>
      </c>
      <c r="C22" s="50">
        <f>IF(D11="","-",+C21+1)</f>
        <v>2022</v>
      </c>
      <c r="D22" s="55">
        <f>IF(F21+SUM(E$17:E21)=D$10,F21,D$10-SUM(E$17:E21))</f>
        <v>0</v>
      </c>
      <c r="E22" s="56">
        <f t="shared" si="3"/>
        <v>0</v>
      </c>
      <c r="F22" s="55">
        <f t="shared" si="4"/>
        <v>0</v>
      </c>
      <c r="G22" s="57">
        <f t="shared" si="5"/>
        <v>0</v>
      </c>
      <c r="H22" s="42">
        <f t="shared" si="6"/>
        <v>0</v>
      </c>
      <c r="I22" s="52">
        <f t="shared" si="7"/>
        <v>0</v>
      </c>
      <c r="J22" s="52"/>
      <c r="K22" s="115"/>
      <c r="L22" s="54">
        <f t="shared" si="0"/>
        <v>0</v>
      </c>
      <c r="M22" s="115"/>
      <c r="N22" s="54">
        <f t="shared" si="1"/>
        <v>0</v>
      </c>
      <c r="O22" s="54">
        <f t="shared" si="2"/>
        <v>0</v>
      </c>
      <c r="P22" s="1"/>
    </row>
    <row r="23" spans="2:16">
      <c r="B23" s="7" t="str">
        <f t="shared" si="8"/>
        <v/>
      </c>
      <c r="C23" s="50">
        <f>IF(D11="","-",+C22+1)</f>
        <v>2023</v>
      </c>
      <c r="D23" s="55">
        <f>IF(F22+SUM(E$17:E22)=D$10,F22,D$10-SUM(E$17:E22))</f>
        <v>0</v>
      </c>
      <c r="E23" s="56">
        <f t="shared" si="3"/>
        <v>0</v>
      </c>
      <c r="F23" s="55">
        <f t="shared" si="4"/>
        <v>0</v>
      </c>
      <c r="G23" s="57">
        <f t="shared" si="5"/>
        <v>0</v>
      </c>
      <c r="H23" s="42">
        <f t="shared" si="6"/>
        <v>0</v>
      </c>
      <c r="I23" s="52">
        <f t="shared" si="7"/>
        <v>0</v>
      </c>
      <c r="J23" s="52"/>
      <c r="K23" s="115"/>
      <c r="L23" s="54">
        <f t="shared" si="0"/>
        <v>0</v>
      </c>
      <c r="M23" s="115"/>
      <c r="N23" s="54">
        <f t="shared" si="1"/>
        <v>0</v>
      </c>
      <c r="O23" s="54">
        <f t="shared" si="2"/>
        <v>0</v>
      </c>
      <c r="P23" s="1"/>
    </row>
    <row r="24" spans="2:16">
      <c r="B24" s="7" t="str">
        <f t="shared" si="8"/>
        <v/>
      </c>
      <c r="C24" s="50">
        <f>IF(D11="","-",+C23+1)</f>
        <v>2024</v>
      </c>
      <c r="D24" s="55">
        <f>IF(F23+SUM(E$17:E23)=D$10,F23,D$10-SUM(E$17:E23))</f>
        <v>0</v>
      </c>
      <c r="E24" s="56">
        <f t="shared" si="3"/>
        <v>0</v>
      </c>
      <c r="F24" s="55">
        <f t="shared" si="4"/>
        <v>0</v>
      </c>
      <c r="G24" s="57">
        <f t="shared" si="5"/>
        <v>0</v>
      </c>
      <c r="H24" s="42">
        <f t="shared" si="6"/>
        <v>0</v>
      </c>
      <c r="I24" s="52">
        <f t="shared" si="7"/>
        <v>0</v>
      </c>
      <c r="J24" s="52"/>
      <c r="K24" s="115"/>
      <c r="L24" s="54">
        <f t="shared" si="0"/>
        <v>0</v>
      </c>
      <c r="M24" s="115"/>
      <c r="N24" s="54">
        <f t="shared" si="1"/>
        <v>0</v>
      </c>
      <c r="O24" s="54">
        <f t="shared" si="2"/>
        <v>0</v>
      </c>
      <c r="P24" s="1"/>
    </row>
    <row r="25" spans="2:16">
      <c r="B25" s="7" t="str">
        <f t="shared" si="8"/>
        <v/>
      </c>
      <c r="C25" s="50">
        <f>IF(D11="","-",+C24+1)</f>
        <v>2025</v>
      </c>
      <c r="D25" s="55">
        <f>IF(F24+SUM(E$17:E24)=D$10,F24,D$10-SUM(E$17:E24))</f>
        <v>0</v>
      </c>
      <c r="E25" s="56">
        <f t="shared" si="3"/>
        <v>0</v>
      </c>
      <c r="F25" s="55">
        <f t="shared" si="4"/>
        <v>0</v>
      </c>
      <c r="G25" s="57">
        <f t="shared" si="5"/>
        <v>0</v>
      </c>
      <c r="H25" s="42">
        <f t="shared" si="6"/>
        <v>0</v>
      </c>
      <c r="I25" s="52">
        <f t="shared" si="7"/>
        <v>0</v>
      </c>
      <c r="J25" s="52"/>
      <c r="K25" s="115"/>
      <c r="L25" s="54">
        <f t="shared" si="0"/>
        <v>0</v>
      </c>
      <c r="M25" s="115"/>
      <c r="N25" s="54">
        <f t="shared" si="1"/>
        <v>0</v>
      </c>
      <c r="O25" s="54">
        <f t="shared" si="2"/>
        <v>0</v>
      </c>
      <c r="P25" s="1"/>
    </row>
    <row r="26" spans="2:16">
      <c r="B26" s="7" t="str">
        <f t="shared" si="8"/>
        <v/>
      </c>
      <c r="C26" s="50">
        <f>IF(D11="","-",+C25+1)</f>
        <v>2026</v>
      </c>
      <c r="D26" s="55">
        <f>IF(F25+SUM(E$17:E25)=D$10,F25,D$10-SUM(E$17:E25))</f>
        <v>0</v>
      </c>
      <c r="E26" s="56">
        <f t="shared" si="3"/>
        <v>0</v>
      </c>
      <c r="F26" s="55">
        <f t="shared" si="4"/>
        <v>0</v>
      </c>
      <c r="G26" s="57">
        <f t="shared" si="5"/>
        <v>0</v>
      </c>
      <c r="H26" s="42">
        <f t="shared" si="6"/>
        <v>0</v>
      </c>
      <c r="I26" s="52">
        <f t="shared" si="7"/>
        <v>0</v>
      </c>
      <c r="J26" s="52"/>
      <c r="K26" s="115"/>
      <c r="L26" s="54">
        <f t="shared" si="0"/>
        <v>0</v>
      </c>
      <c r="M26" s="115"/>
      <c r="N26" s="54">
        <f t="shared" si="1"/>
        <v>0</v>
      </c>
      <c r="O26" s="54">
        <f t="shared" si="2"/>
        <v>0</v>
      </c>
      <c r="P26" s="1"/>
    </row>
    <row r="27" spans="2:16">
      <c r="B27" s="7" t="str">
        <f t="shared" si="8"/>
        <v/>
      </c>
      <c r="C27" s="50">
        <f>IF(D11="","-",+C26+1)</f>
        <v>2027</v>
      </c>
      <c r="D27" s="55">
        <f>IF(F26+SUM(E$17:E26)=D$10,F26,D$10-SUM(E$17:E26))</f>
        <v>0</v>
      </c>
      <c r="E27" s="56">
        <f t="shared" si="3"/>
        <v>0</v>
      </c>
      <c r="F27" s="55">
        <f t="shared" si="4"/>
        <v>0</v>
      </c>
      <c r="G27" s="57">
        <f t="shared" si="5"/>
        <v>0</v>
      </c>
      <c r="H27" s="42">
        <f t="shared" si="6"/>
        <v>0</v>
      </c>
      <c r="I27" s="52">
        <f t="shared" si="7"/>
        <v>0</v>
      </c>
      <c r="J27" s="52"/>
      <c r="K27" s="115"/>
      <c r="L27" s="54">
        <f t="shared" si="0"/>
        <v>0</v>
      </c>
      <c r="M27" s="115"/>
      <c r="N27" s="54">
        <f t="shared" si="1"/>
        <v>0</v>
      </c>
      <c r="O27" s="54">
        <f t="shared" si="2"/>
        <v>0</v>
      </c>
      <c r="P27" s="1"/>
    </row>
    <row r="28" spans="2:16">
      <c r="B28" s="7" t="str">
        <f t="shared" si="8"/>
        <v/>
      </c>
      <c r="C28" s="50">
        <f>IF(D11="","-",+C27+1)</f>
        <v>2028</v>
      </c>
      <c r="D28" s="55">
        <f>IF(F27+SUM(E$17:E27)=D$10,F27,D$10-SUM(E$17:E27))</f>
        <v>0</v>
      </c>
      <c r="E28" s="56">
        <f t="shared" si="3"/>
        <v>0</v>
      </c>
      <c r="F28" s="55">
        <f t="shared" si="4"/>
        <v>0</v>
      </c>
      <c r="G28" s="57">
        <f t="shared" si="5"/>
        <v>0</v>
      </c>
      <c r="H28" s="42">
        <f t="shared" si="6"/>
        <v>0</v>
      </c>
      <c r="I28" s="52">
        <f t="shared" si="7"/>
        <v>0</v>
      </c>
      <c r="J28" s="52"/>
      <c r="K28" s="115"/>
      <c r="L28" s="54">
        <f t="shared" si="0"/>
        <v>0</v>
      </c>
      <c r="M28" s="115"/>
      <c r="N28" s="54">
        <f t="shared" si="1"/>
        <v>0</v>
      </c>
      <c r="O28" s="54">
        <f t="shared" si="2"/>
        <v>0</v>
      </c>
      <c r="P28" s="1"/>
    </row>
    <row r="29" spans="2:16">
      <c r="B29" s="7" t="str">
        <f t="shared" si="8"/>
        <v/>
      </c>
      <c r="C29" s="50">
        <f>IF(D11="","-",+C28+1)</f>
        <v>2029</v>
      </c>
      <c r="D29" s="55">
        <f>IF(F28+SUM(E$17:E28)=D$10,F28,D$10-SUM(E$17:E28))</f>
        <v>0</v>
      </c>
      <c r="E29" s="56">
        <f t="shared" si="3"/>
        <v>0</v>
      </c>
      <c r="F29" s="55">
        <f t="shared" si="4"/>
        <v>0</v>
      </c>
      <c r="G29" s="57">
        <f t="shared" si="5"/>
        <v>0</v>
      </c>
      <c r="H29" s="42">
        <f t="shared" si="6"/>
        <v>0</v>
      </c>
      <c r="I29" s="52">
        <f t="shared" si="7"/>
        <v>0</v>
      </c>
      <c r="J29" s="52"/>
      <c r="K29" s="115"/>
      <c r="L29" s="54">
        <f t="shared" si="0"/>
        <v>0</v>
      </c>
      <c r="M29" s="115"/>
      <c r="N29" s="54">
        <f t="shared" si="1"/>
        <v>0</v>
      </c>
      <c r="O29" s="54">
        <f t="shared" si="2"/>
        <v>0</v>
      </c>
      <c r="P29" s="1"/>
    </row>
    <row r="30" spans="2:16">
      <c r="B30" s="7" t="str">
        <f t="shared" si="8"/>
        <v/>
      </c>
      <c r="C30" s="50">
        <f>IF(D11="","-",+C29+1)</f>
        <v>2030</v>
      </c>
      <c r="D30" s="55">
        <f>IF(F29+SUM(E$17:E29)=D$10,F29,D$10-SUM(E$17:E29))</f>
        <v>0</v>
      </c>
      <c r="E30" s="56">
        <f t="shared" si="3"/>
        <v>0</v>
      </c>
      <c r="F30" s="55">
        <f t="shared" si="4"/>
        <v>0</v>
      </c>
      <c r="G30" s="57">
        <f t="shared" si="5"/>
        <v>0</v>
      </c>
      <c r="H30" s="42">
        <f t="shared" si="6"/>
        <v>0</v>
      </c>
      <c r="I30" s="52">
        <f t="shared" si="7"/>
        <v>0</v>
      </c>
      <c r="J30" s="52"/>
      <c r="K30" s="115"/>
      <c r="L30" s="54">
        <f t="shared" si="0"/>
        <v>0</v>
      </c>
      <c r="M30" s="115"/>
      <c r="N30" s="54">
        <f t="shared" si="1"/>
        <v>0</v>
      </c>
      <c r="O30" s="54">
        <f t="shared" si="2"/>
        <v>0</v>
      </c>
      <c r="P30" s="1"/>
    </row>
    <row r="31" spans="2:16">
      <c r="B31" s="7" t="str">
        <f t="shared" si="8"/>
        <v/>
      </c>
      <c r="C31" s="50">
        <f>IF(D11="","-",+C30+1)</f>
        <v>2031</v>
      </c>
      <c r="D31" s="55">
        <f>IF(F30+SUM(E$17:E30)=D$10,F30,D$10-SUM(E$17:E30))</f>
        <v>0</v>
      </c>
      <c r="E31" s="56">
        <f t="shared" si="3"/>
        <v>0</v>
      </c>
      <c r="F31" s="55">
        <f t="shared" si="4"/>
        <v>0</v>
      </c>
      <c r="G31" s="57">
        <f t="shared" si="5"/>
        <v>0</v>
      </c>
      <c r="H31" s="42">
        <f t="shared" si="6"/>
        <v>0</v>
      </c>
      <c r="I31" s="52">
        <f t="shared" si="7"/>
        <v>0</v>
      </c>
      <c r="J31" s="52"/>
      <c r="K31" s="115"/>
      <c r="L31" s="54">
        <f t="shared" si="0"/>
        <v>0</v>
      </c>
      <c r="M31" s="115"/>
      <c r="N31" s="54">
        <f t="shared" si="1"/>
        <v>0</v>
      </c>
      <c r="O31" s="54">
        <f t="shared" si="2"/>
        <v>0</v>
      </c>
      <c r="P31" s="1"/>
    </row>
    <row r="32" spans="2:16">
      <c r="B32" s="7" t="str">
        <f t="shared" si="8"/>
        <v/>
      </c>
      <c r="C32" s="50">
        <f>IF(D11="","-",+C31+1)</f>
        <v>2032</v>
      </c>
      <c r="D32" s="55">
        <f>IF(F31+SUM(E$17:E31)=D$10,F31,D$10-SUM(E$17:E31))</f>
        <v>0</v>
      </c>
      <c r="E32" s="56">
        <f t="shared" si="3"/>
        <v>0</v>
      </c>
      <c r="F32" s="55">
        <f t="shared" si="4"/>
        <v>0</v>
      </c>
      <c r="G32" s="57">
        <f t="shared" si="5"/>
        <v>0</v>
      </c>
      <c r="H32" s="42">
        <f t="shared" si="6"/>
        <v>0</v>
      </c>
      <c r="I32" s="52">
        <f t="shared" si="7"/>
        <v>0</v>
      </c>
      <c r="J32" s="52"/>
      <c r="K32" s="115"/>
      <c r="L32" s="54">
        <f t="shared" si="0"/>
        <v>0</v>
      </c>
      <c r="M32" s="115"/>
      <c r="N32" s="54">
        <f t="shared" si="1"/>
        <v>0</v>
      </c>
      <c r="O32" s="54">
        <f t="shared" si="2"/>
        <v>0</v>
      </c>
      <c r="P32" s="1"/>
    </row>
    <row r="33" spans="2:16">
      <c r="B33" s="7" t="str">
        <f t="shared" si="8"/>
        <v/>
      </c>
      <c r="C33" s="50">
        <f>IF(D11="","-",+C32+1)</f>
        <v>2033</v>
      </c>
      <c r="D33" s="55">
        <f>IF(F32+SUM(E$17:E32)=D$10,F32,D$10-SUM(E$17:E32))</f>
        <v>0</v>
      </c>
      <c r="E33" s="56">
        <f t="shared" si="3"/>
        <v>0</v>
      </c>
      <c r="F33" s="55">
        <f t="shared" si="4"/>
        <v>0</v>
      </c>
      <c r="G33" s="57">
        <f t="shared" si="5"/>
        <v>0</v>
      </c>
      <c r="H33" s="42">
        <f t="shared" si="6"/>
        <v>0</v>
      </c>
      <c r="I33" s="52">
        <f t="shared" si="7"/>
        <v>0</v>
      </c>
      <c r="J33" s="52"/>
      <c r="K33" s="115"/>
      <c r="L33" s="54">
        <f t="shared" si="0"/>
        <v>0</v>
      </c>
      <c r="M33" s="115"/>
      <c r="N33" s="54">
        <f t="shared" si="1"/>
        <v>0</v>
      </c>
      <c r="O33" s="54">
        <f t="shared" si="2"/>
        <v>0</v>
      </c>
      <c r="P33" s="1"/>
    </row>
    <row r="34" spans="2:16">
      <c r="B34" s="7" t="str">
        <f t="shared" si="8"/>
        <v/>
      </c>
      <c r="C34" s="50">
        <f>IF(D11="","-",+C33+1)</f>
        <v>2034</v>
      </c>
      <c r="D34" s="55">
        <f>IF(F33+SUM(E$17:E33)=D$10,F33,D$10-SUM(E$17:E33))</f>
        <v>0</v>
      </c>
      <c r="E34" s="56">
        <f t="shared" si="3"/>
        <v>0</v>
      </c>
      <c r="F34" s="55">
        <f t="shared" si="4"/>
        <v>0</v>
      </c>
      <c r="G34" s="57">
        <f t="shared" si="5"/>
        <v>0</v>
      </c>
      <c r="H34" s="42">
        <f t="shared" si="6"/>
        <v>0</v>
      </c>
      <c r="I34" s="52">
        <f t="shared" si="7"/>
        <v>0</v>
      </c>
      <c r="J34" s="52"/>
      <c r="K34" s="115"/>
      <c r="L34" s="54">
        <f t="shared" si="0"/>
        <v>0</v>
      </c>
      <c r="M34" s="115"/>
      <c r="N34" s="54">
        <f t="shared" si="1"/>
        <v>0</v>
      </c>
      <c r="O34" s="54">
        <f t="shared" si="2"/>
        <v>0</v>
      </c>
      <c r="P34" s="1"/>
    </row>
    <row r="35" spans="2:16">
      <c r="B35" s="7" t="str">
        <f t="shared" si="8"/>
        <v/>
      </c>
      <c r="C35" s="50">
        <f>IF(D11="","-",+C34+1)</f>
        <v>2035</v>
      </c>
      <c r="D35" s="55">
        <f>IF(F34+SUM(E$17:E34)=D$10,F34,D$10-SUM(E$17:E34))</f>
        <v>0</v>
      </c>
      <c r="E35" s="56">
        <f t="shared" si="3"/>
        <v>0</v>
      </c>
      <c r="F35" s="55">
        <f t="shared" si="4"/>
        <v>0</v>
      </c>
      <c r="G35" s="57">
        <f t="shared" si="5"/>
        <v>0</v>
      </c>
      <c r="H35" s="42">
        <f t="shared" si="6"/>
        <v>0</v>
      </c>
      <c r="I35" s="52">
        <f t="shared" si="7"/>
        <v>0</v>
      </c>
      <c r="J35" s="52"/>
      <c r="K35" s="115"/>
      <c r="L35" s="54">
        <f t="shared" si="0"/>
        <v>0</v>
      </c>
      <c r="M35" s="115"/>
      <c r="N35" s="54">
        <f t="shared" si="1"/>
        <v>0</v>
      </c>
      <c r="O35" s="54">
        <f t="shared" si="2"/>
        <v>0</v>
      </c>
      <c r="P35" s="1"/>
    </row>
    <row r="36" spans="2:16">
      <c r="B36" s="7" t="str">
        <f t="shared" si="8"/>
        <v/>
      </c>
      <c r="C36" s="50">
        <f>IF(D11="","-",+C35+1)</f>
        <v>2036</v>
      </c>
      <c r="D36" s="55">
        <f>IF(F35+SUM(E$17:E35)=D$10,F35,D$10-SUM(E$17:E35))</f>
        <v>0</v>
      </c>
      <c r="E36" s="56">
        <f t="shared" si="3"/>
        <v>0</v>
      </c>
      <c r="F36" s="55">
        <f t="shared" si="4"/>
        <v>0</v>
      </c>
      <c r="G36" s="57">
        <f t="shared" si="5"/>
        <v>0</v>
      </c>
      <c r="H36" s="42">
        <f t="shared" si="6"/>
        <v>0</v>
      </c>
      <c r="I36" s="52">
        <f t="shared" si="7"/>
        <v>0</v>
      </c>
      <c r="J36" s="52"/>
      <c r="K36" s="115"/>
      <c r="L36" s="54">
        <f t="shared" si="0"/>
        <v>0</v>
      </c>
      <c r="M36" s="115"/>
      <c r="N36" s="54">
        <f t="shared" si="1"/>
        <v>0</v>
      </c>
      <c r="O36" s="54">
        <f t="shared" si="2"/>
        <v>0</v>
      </c>
      <c r="P36" s="1"/>
    </row>
    <row r="37" spans="2:16">
      <c r="B37" s="7" t="str">
        <f t="shared" si="8"/>
        <v/>
      </c>
      <c r="C37" s="50">
        <f>IF(D11="","-",+C36+1)</f>
        <v>2037</v>
      </c>
      <c r="D37" s="55">
        <f>IF(F36+SUM(E$17:E36)=D$10,F36,D$10-SUM(E$17:E36))</f>
        <v>0</v>
      </c>
      <c r="E37" s="56">
        <f t="shared" si="3"/>
        <v>0</v>
      </c>
      <c r="F37" s="55">
        <f t="shared" si="4"/>
        <v>0</v>
      </c>
      <c r="G37" s="57">
        <f t="shared" si="5"/>
        <v>0</v>
      </c>
      <c r="H37" s="42">
        <f t="shared" si="6"/>
        <v>0</v>
      </c>
      <c r="I37" s="52">
        <f t="shared" si="7"/>
        <v>0</v>
      </c>
      <c r="J37" s="52"/>
      <c r="K37" s="115"/>
      <c r="L37" s="54">
        <f t="shared" si="0"/>
        <v>0</v>
      </c>
      <c r="M37" s="115"/>
      <c r="N37" s="54">
        <f t="shared" si="1"/>
        <v>0</v>
      </c>
      <c r="O37" s="54">
        <f t="shared" si="2"/>
        <v>0</v>
      </c>
      <c r="P37" s="1"/>
    </row>
    <row r="38" spans="2:16">
      <c r="B38" s="7" t="str">
        <f t="shared" si="8"/>
        <v/>
      </c>
      <c r="C38" s="50">
        <f>IF(D11="","-",+C37+1)</f>
        <v>2038</v>
      </c>
      <c r="D38" s="55">
        <f>IF(F37+SUM(E$17:E37)=D$10,F37,D$10-SUM(E$17:E37))</f>
        <v>0</v>
      </c>
      <c r="E38" s="56">
        <f t="shared" si="3"/>
        <v>0</v>
      </c>
      <c r="F38" s="55">
        <f t="shared" si="4"/>
        <v>0</v>
      </c>
      <c r="G38" s="57">
        <f t="shared" si="5"/>
        <v>0</v>
      </c>
      <c r="H38" s="42">
        <f t="shared" si="6"/>
        <v>0</v>
      </c>
      <c r="I38" s="52">
        <f t="shared" si="7"/>
        <v>0</v>
      </c>
      <c r="J38" s="52"/>
      <c r="K38" s="115"/>
      <c r="L38" s="54">
        <f t="shared" si="0"/>
        <v>0</v>
      </c>
      <c r="M38" s="115"/>
      <c r="N38" s="54">
        <f t="shared" si="1"/>
        <v>0</v>
      </c>
      <c r="O38" s="54">
        <f t="shared" si="2"/>
        <v>0</v>
      </c>
      <c r="P38" s="1"/>
    </row>
    <row r="39" spans="2:16">
      <c r="B39" s="7" t="str">
        <f t="shared" si="8"/>
        <v/>
      </c>
      <c r="C39" s="50">
        <f>IF(D11="","-",+C38+1)</f>
        <v>2039</v>
      </c>
      <c r="D39" s="55">
        <f>IF(F38+SUM(E$17:E38)=D$10,F38,D$10-SUM(E$17:E38))</f>
        <v>0</v>
      </c>
      <c r="E39" s="56">
        <f t="shared" si="3"/>
        <v>0</v>
      </c>
      <c r="F39" s="55">
        <f t="shared" si="4"/>
        <v>0</v>
      </c>
      <c r="G39" s="57">
        <f t="shared" si="5"/>
        <v>0</v>
      </c>
      <c r="H39" s="42">
        <f t="shared" si="6"/>
        <v>0</v>
      </c>
      <c r="I39" s="52">
        <f t="shared" si="7"/>
        <v>0</v>
      </c>
      <c r="J39" s="52"/>
      <c r="K39" s="115"/>
      <c r="L39" s="54">
        <f t="shared" si="0"/>
        <v>0</v>
      </c>
      <c r="M39" s="115"/>
      <c r="N39" s="54">
        <f t="shared" si="1"/>
        <v>0</v>
      </c>
      <c r="O39" s="54">
        <f t="shared" si="2"/>
        <v>0</v>
      </c>
      <c r="P39" s="1"/>
    </row>
    <row r="40" spans="2:16">
      <c r="B40" s="7" t="str">
        <f t="shared" si="8"/>
        <v/>
      </c>
      <c r="C40" s="50">
        <f>IF(D11="","-",+C39+1)</f>
        <v>2040</v>
      </c>
      <c r="D40" s="55">
        <f>IF(F39+SUM(E$17:E39)=D$10,F39,D$10-SUM(E$17:E39))</f>
        <v>0</v>
      </c>
      <c r="E40" s="56">
        <f t="shared" si="3"/>
        <v>0</v>
      </c>
      <c r="F40" s="55">
        <f t="shared" si="4"/>
        <v>0</v>
      </c>
      <c r="G40" s="57">
        <f t="shared" si="5"/>
        <v>0</v>
      </c>
      <c r="H40" s="42">
        <f t="shared" si="6"/>
        <v>0</v>
      </c>
      <c r="I40" s="52">
        <f t="shared" si="7"/>
        <v>0</v>
      </c>
      <c r="J40" s="52"/>
      <c r="K40" s="115"/>
      <c r="L40" s="54">
        <f t="shared" si="0"/>
        <v>0</v>
      </c>
      <c r="M40" s="115"/>
      <c r="N40" s="54">
        <f t="shared" si="1"/>
        <v>0</v>
      </c>
      <c r="O40" s="54">
        <f t="shared" si="2"/>
        <v>0</v>
      </c>
      <c r="P40" s="1"/>
    </row>
    <row r="41" spans="2:16">
      <c r="B41" s="7" t="str">
        <f t="shared" si="8"/>
        <v/>
      </c>
      <c r="C41" s="50">
        <f>IF(D11="","-",+C40+1)</f>
        <v>2041</v>
      </c>
      <c r="D41" s="55">
        <f>IF(F40+SUM(E$17:E40)=D$10,F40,D$10-SUM(E$17:E40))</f>
        <v>0</v>
      </c>
      <c r="E41" s="56">
        <f t="shared" si="3"/>
        <v>0</v>
      </c>
      <c r="F41" s="55">
        <f t="shared" si="4"/>
        <v>0</v>
      </c>
      <c r="G41" s="57">
        <f t="shared" si="5"/>
        <v>0</v>
      </c>
      <c r="H41" s="42">
        <f t="shared" si="6"/>
        <v>0</v>
      </c>
      <c r="I41" s="52">
        <f t="shared" si="7"/>
        <v>0</v>
      </c>
      <c r="J41" s="52"/>
      <c r="K41" s="115"/>
      <c r="L41" s="54">
        <f t="shared" si="0"/>
        <v>0</v>
      </c>
      <c r="M41" s="115"/>
      <c r="N41" s="54">
        <f t="shared" si="1"/>
        <v>0</v>
      </c>
      <c r="O41" s="54">
        <f t="shared" si="2"/>
        <v>0</v>
      </c>
      <c r="P41" s="1"/>
    </row>
    <row r="42" spans="2:16">
      <c r="B42" s="7" t="str">
        <f t="shared" si="8"/>
        <v/>
      </c>
      <c r="C42" s="50">
        <f>IF(D11="","-",+C41+1)</f>
        <v>2042</v>
      </c>
      <c r="D42" s="55">
        <f>IF(F41+SUM(E$17:E41)=D$10,F41,D$10-SUM(E$17:E41))</f>
        <v>0</v>
      </c>
      <c r="E42" s="56">
        <f t="shared" si="3"/>
        <v>0</v>
      </c>
      <c r="F42" s="55">
        <f t="shared" si="4"/>
        <v>0</v>
      </c>
      <c r="G42" s="57">
        <f t="shared" si="5"/>
        <v>0</v>
      </c>
      <c r="H42" s="42">
        <f t="shared" si="6"/>
        <v>0</v>
      </c>
      <c r="I42" s="52">
        <f t="shared" si="7"/>
        <v>0</v>
      </c>
      <c r="J42" s="52"/>
      <c r="K42" s="115"/>
      <c r="L42" s="54">
        <f t="shared" si="0"/>
        <v>0</v>
      </c>
      <c r="M42" s="115"/>
      <c r="N42" s="54">
        <f t="shared" si="1"/>
        <v>0</v>
      </c>
      <c r="O42" s="54">
        <f t="shared" si="2"/>
        <v>0</v>
      </c>
      <c r="P42" s="1"/>
    </row>
    <row r="43" spans="2:16">
      <c r="B43" s="7" t="str">
        <f t="shared" si="8"/>
        <v/>
      </c>
      <c r="C43" s="50">
        <f>IF(D11="","-",+C42+1)</f>
        <v>2043</v>
      </c>
      <c r="D43" s="55">
        <f>IF(F42+SUM(E$17:E42)=D$10,F42,D$10-SUM(E$17:E42))</f>
        <v>0</v>
      </c>
      <c r="E43" s="56">
        <f t="shared" si="3"/>
        <v>0</v>
      </c>
      <c r="F43" s="55">
        <f t="shared" si="4"/>
        <v>0</v>
      </c>
      <c r="G43" s="57">
        <f t="shared" si="5"/>
        <v>0</v>
      </c>
      <c r="H43" s="42">
        <f t="shared" si="6"/>
        <v>0</v>
      </c>
      <c r="I43" s="52">
        <f t="shared" si="7"/>
        <v>0</v>
      </c>
      <c r="J43" s="52"/>
      <c r="K43" s="115"/>
      <c r="L43" s="54">
        <f t="shared" si="0"/>
        <v>0</v>
      </c>
      <c r="M43" s="115"/>
      <c r="N43" s="54">
        <f t="shared" si="1"/>
        <v>0</v>
      </c>
      <c r="O43" s="54">
        <f t="shared" si="2"/>
        <v>0</v>
      </c>
      <c r="P43" s="1"/>
    </row>
    <row r="44" spans="2:16">
      <c r="B44" s="7" t="str">
        <f t="shared" si="8"/>
        <v/>
      </c>
      <c r="C44" s="50">
        <f>IF(D11="","-",+C43+1)</f>
        <v>2044</v>
      </c>
      <c r="D44" s="55">
        <f>IF(F43+SUM(E$17:E43)=D$10,F43,D$10-SUM(E$17:E43))</f>
        <v>0</v>
      </c>
      <c r="E44" s="56">
        <f t="shared" si="3"/>
        <v>0</v>
      </c>
      <c r="F44" s="55">
        <f t="shared" si="4"/>
        <v>0</v>
      </c>
      <c r="G44" s="57">
        <f t="shared" si="5"/>
        <v>0</v>
      </c>
      <c r="H44" s="42">
        <f t="shared" si="6"/>
        <v>0</v>
      </c>
      <c r="I44" s="52">
        <f t="shared" si="7"/>
        <v>0</v>
      </c>
      <c r="J44" s="52"/>
      <c r="K44" s="115"/>
      <c r="L44" s="54">
        <f t="shared" si="0"/>
        <v>0</v>
      </c>
      <c r="M44" s="115"/>
      <c r="N44" s="54">
        <f t="shared" si="1"/>
        <v>0</v>
      </c>
      <c r="O44" s="54">
        <f t="shared" si="2"/>
        <v>0</v>
      </c>
      <c r="P44" s="1"/>
    </row>
    <row r="45" spans="2:16">
      <c r="B45" s="7" t="str">
        <f t="shared" si="8"/>
        <v/>
      </c>
      <c r="C45" s="50">
        <f>IF(D11="","-",+C44+1)</f>
        <v>2045</v>
      </c>
      <c r="D45" s="55">
        <f>IF(F44+SUM(E$17:E44)=D$10,F44,D$10-SUM(E$17:E44))</f>
        <v>0</v>
      </c>
      <c r="E45" s="56">
        <f t="shared" si="3"/>
        <v>0</v>
      </c>
      <c r="F45" s="55">
        <f t="shared" si="4"/>
        <v>0</v>
      </c>
      <c r="G45" s="57">
        <f t="shared" si="5"/>
        <v>0</v>
      </c>
      <c r="H45" s="42">
        <f t="shared" si="6"/>
        <v>0</v>
      </c>
      <c r="I45" s="52">
        <f t="shared" si="7"/>
        <v>0</v>
      </c>
      <c r="J45" s="52"/>
      <c r="K45" s="115"/>
      <c r="L45" s="54">
        <f t="shared" si="0"/>
        <v>0</v>
      </c>
      <c r="M45" s="115"/>
      <c r="N45" s="54">
        <f t="shared" si="1"/>
        <v>0</v>
      </c>
      <c r="O45" s="54">
        <f t="shared" si="2"/>
        <v>0</v>
      </c>
      <c r="P45" s="1"/>
    </row>
    <row r="46" spans="2:16">
      <c r="B46" s="7" t="str">
        <f t="shared" si="8"/>
        <v/>
      </c>
      <c r="C46" s="50">
        <f>IF(D11="","-",+C45+1)</f>
        <v>2046</v>
      </c>
      <c r="D46" s="55">
        <f>IF(F45+SUM(E$17:E45)=D$10,F45,D$10-SUM(E$17:E45))</f>
        <v>0</v>
      </c>
      <c r="E46" s="56">
        <f t="shared" si="3"/>
        <v>0</v>
      </c>
      <c r="F46" s="55">
        <f t="shared" si="4"/>
        <v>0</v>
      </c>
      <c r="G46" s="57">
        <f t="shared" si="5"/>
        <v>0</v>
      </c>
      <c r="H46" s="42">
        <f t="shared" si="6"/>
        <v>0</v>
      </c>
      <c r="I46" s="52">
        <f t="shared" si="7"/>
        <v>0</v>
      </c>
      <c r="J46" s="52"/>
      <c r="K46" s="115"/>
      <c r="L46" s="54">
        <f t="shared" si="0"/>
        <v>0</v>
      </c>
      <c r="M46" s="115"/>
      <c r="N46" s="54">
        <f t="shared" si="1"/>
        <v>0</v>
      </c>
      <c r="O46" s="54">
        <f t="shared" si="2"/>
        <v>0</v>
      </c>
      <c r="P46" s="1"/>
    </row>
    <row r="47" spans="2:16">
      <c r="B47" s="7" t="str">
        <f t="shared" si="8"/>
        <v/>
      </c>
      <c r="C47" s="50">
        <f>IF(D11="","-",+C46+1)</f>
        <v>2047</v>
      </c>
      <c r="D47" s="55">
        <f>IF(F46+SUM(E$17:E46)=D$10,F46,D$10-SUM(E$17:E46))</f>
        <v>0</v>
      </c>
      <c r="E47" s="56">
        <f t="shared" si="3"/>
        <v>0</v>
      </c>
      <c r="F47" s="55">
        <f t="shared" si="4"/>
        <v>0</v>
      </c>
      <c r="G47" s="57">
        <f t="shared" si="5"/>
        <v>0</v>
      </c>
      <c r="H47" s="42">
        <f t="shared" si="6"/>
        <v>0</v>
      </c>
      <c r="I47" s="52">
        <f t="shared" si="7"/>
        <v>0</v>
      </c>
      <c r="J47" s="52"/>
      <c r="K47" s="115"/>
      <c r="L47" s="54">
        <f t="shared" si="0"/>
        <v>0</v>
      </c>
      <c r="M47" s="115"/>
      <c r="N47" s="54">
        <f t="shared" si="1"/>
        <v>0</v>
      </c>
      <c r="O47" s="54">
        <f t="shared" si="2"/>
        <v>0</v>
      </c>
      <c r="P47" s="1"/>
    </row>
    <row r="48" spans="2:16">
      <c r="B48" s="7" t="str">
        <f t="shared" si="8"/>
        <v/>
      </c>
      <c r="C48" s="50">
        <f>IF(D11="","-",+C47+1)</f>
        <v>2048</v>
      </c>
      <c r="D48" s="55">
        <f>IF(F47+SUM(E$17:E47)=D$10,F47,D$10-SUM(E$17:E47))</f>
        <v>0</v>
      </c>
      <c r="E48" s="56">
        <f t="shared" si="3"/>
        <v>0</v>
      </c>
      <c r="F48" s="55">
        <f t="shared" si="4"/>
        <v>0</v>
      </c>
      <c r="G48" s="57">
        <f t="shared" si="5"/>
        <v>0</v>
      </c>
      <c r="H48" s="42">
        <f t="shared" si="6"/>
        <v>0</v>
      </c>
      <c r="I48" s="52">
        <f t="shared" si="7"/>
        <v>0</v>
      </c>
      <c r="J48" s="52"/>
      <c r="K48" s="115"/>
      <c r="L48" s="54">
        <f t="shared" si="0"/>
        <v>0</v>
      </c>
      <c r="M48" s="115"/>
      <c r="N48" s="54">
        <f t="shared" si="1"/>
        <v>0</v>
      </c>
      <c r="O48" s="54">
        <f t="shared" si="2"/>
        <v>0</v>
      </c>
      <c r="P48" s="1"/>
    </row>
    <row r="49" spans="2:16">
      <c r="B49" s="7" t="str">
        <f t="shared" si="8"/>
        <v/>
      </c>
      <c r="C49" s="50">
        <f>IF(D11="","-",+C48+1)</f>
        <v>2049</v>
      </c>
      <c r="D49" s="55">
        <f>IF(F48+SUM(E$17:E48)=D$10,F48,D$10-SUM(E$17:E48))</f>
        <v>0</v>
      </c>
      <c r="E49" s="56">
        <f t="shared" si="3"/>
        <v>0</v>
      </c>
      <c r="F49" s="55">
        <f t="shared" si="4"/>
        <v>0</v>
      </c>
      <c r="G49" s="57">
        <f t="shared" si="5"/>
        <v>0</v>
      </c>
      <c r="H49" s="42">
        <f t="shared" si="6"/>
        <v>0</v>
      </c>
      <c r="I49" s="52">
        <f t="shared" si="7"/>
        <v>0</v>
      </c>
      <c r="J49" s="52"/>
      <c r="K49" s="115"/>
      <c r="L49" s="54">
        <f t="shared" ref="L49:L72" si="9">IF(K49&lt;&gt;0,+G49-K49,0)</f>
        <v>0</v>
      </c>
      <c r="M49" s="115"/>
      <c r="N49" s="54">
        <f t="shared" ref="N49:N72" si="10">IF(M49&lt;&gt;0,+H49-M49,0)</f>
        <v>0</v>
      </c>
      <c r="O49" s="54">
        <f t="shared" ref="O49:O72" si="11">+N49-L49</f>
        <v>0</v>
      </c>
      <c r="P49" s="1"/>
    </row>
    <row r="50" spans="2:16">
      <c r="B50" s="7" t="str">
        <f t="shared" si="8"/>
        <v/>
      </c>
      <c r="C50" s="50">
        <f>IF(D11="","-",+C49+1)</f>
        <v>2050</v>
      </c>
      <c r="D50" s="55">
        <f>IF(F49+SUM(E$17:E49)=D$10,F49,D$10-SUM(E$17:E49))</f>
        <v>0</v>
      </c>
      <c r="E50" s="56">
        <f t="shared" si="3"/>
        <v>0</v>
      </c>
      <c r="F50" s="55">
        <f t="shared" si="4"/>
        <v>0</v>
      </c>
      <c r="G50" s="57">
        <f t="shared" si="5"/>
        <v>0</v>
      </c>
      <c r="H50" s="42">
        <f t="shared" si="6"/>
        <v>0</v>
      </c>
      <c r="I50" s="52">
        <f t="shared" si="7"/>
        <v>0</v>
      </c>
      <c r="J50" s="52"/>
      <c r="K50" s="115"/>
      <c r="L50" s="54">
        <f t="shared" si="9"/>
        <v>0</v>
      </c>
      <c r="M50" s="115"/>
      <c r="N50" s="54">
        <f t="shared" si="10"/>
        <v>0</v>
      </c>
      <c r="O50" s="54">
        <f t="shared" si="11"/>
        <v>0</v>
      </c>
      <c r="P50" s="1"/>
    </row>
    <row r="51" spans="2:16">
      <c r="B51" s="7" t="str">
        <f t="shared" si="8"/>
        <v/>
      </c>
      <c r="C51" s="50">
        <f>IF(D11="","-",+C50+1)</f>
        <v>2051</v>
      </c>
      <c r="D51" s="55">
        <f>IF(F50+SUM(E$17:E50)=D$10,F50,D$10-SUM(E$17:E50))</f>
        <v>0</v>
      </c>
      <c r="E51" s="56">
        <f t="shared" si="3"/>
        <v>0</v>
      </c>
      <c r="F51" s="55">
        <f t="shared" si="4"/>
        <v>0</v>
      </c>
      <c r="G51" s="57">
        <f t="shared" si="5"/>
        <v>0</v>
      </c>
      <c r="H51" s="42">
        <f t="shared" si="6"/>
        <v>0</v>
      </c>
      <c r="I51" s="52">
        <f t="shared" si="7"/>
        <v>0</v>
      </c>
      <c r="J51" s="52"/>
      <c r="K51" s="115"/>
      <c r="L51" s="54">
        <f t="shared" si="9"/>
        <v>0</v>
      </c>
      <c r="M51" s="115"/>
      <c r="N51" s="54">
        <f t="shared" si="10"/>
        <v>0</v>
      </c>
      <c r="O51" s="54">
        <f t="shared" si="11"/>
        <v>0</v>
      </c>
      <c r="P51" s="1"/>
    </row>
    <row r="52" spans="2:16">
      <c r="B52" s="7" t="str">
        <f t="shared" si="8"/>
        <v/>
      </c>
      <c r="C52" s="50">
        <f>IF(D11="","-",+C51+1)</f>
        <v>2052</v>
      </c>
      <c r="D52" s="55">
        <f>IF(F51+SUM(E$17:E51)=D$10,F51,D$10-SUM(E$17:E51))</f>
        <v>0</v>
      </c>
      <c r="E52" s="56">
        <f t="shared" si="3"/>
        <v>0</v>
      </c>
      <c r="F52" s="55">
        <f t="shared" si="4"/>
        <v>0</v>
      </c>
      <c r="G52" s="57">
        <f t="shared" si="5"/>
        <v>0</v>
      </c>
      <c r="H52" s="42">
        <f t="shared" si="6"/>
        <v>0</v>
      </c>
      <c r="I52" s="52">
        <f t="shared" si="7"/>
        <v>0</v>
      </c>
      <c r="J52" s="52"/>
      <c r="K52" s="115"/>
      <c r="L52" s="54">
        <f t="shared" si="9"/>
        <v>0</v>
      </c>
      <c r="M52" s="115"/>
      <c r="N52" s="54">
        <f t="shared" si="10"/>
        <v>0</v>
      </c>
      <c r="O52" s="54">
        <f t="shared" si="11"/>
        <v>0</v>
      </c>
      <c r="P52" s="1"/>
    </row>
    <row r="53" spans="2:16">
      <c r="B53" s="7" t="str">
        <f t="shared" si="8"/>
        <v/>
      </c>
      <c r="C53" s="50">
        <f>IF(D11="","-",+C52+1)</f>
        <v>2053</v>
      </c>
      <c r="D53" s="55">
        <f>IF(F52+SUM(E$17:E52)=D$10,F52,D$10-SUM(E$17:E52))</f>
        <v>0</v>
      </c>
      <c r="E53" s="56">
        <f t="shared" si="3"/>
        <v>0</v>
      </c>
      <c r="F53" s="55">
        <f t="shared" si="4"/>
        <v>0</v>
      </c>
      <c r="G53" s="57">
        <f t="shared" si="5"/>
        <v>0</v>
      </c>
      <c r="H53" s="42">
        <f t="shared" si="6"/>
        <v>0</v>
      </c>
      <c r="I53" s="52">
        <f t="shared" si="7"/>
        <v>0</v>
      </c>
      <c r="J53" s="52"/>
      <c r="K53" s="115"/>
      <c r="L53" s="54">
        <f t="shared" si="9"/>
        <v>0</v>
      </c>
      <c r="M53" s="115"/>
      <c r="N53" s="54">
        <f t="shared" si="10"/>
        <v>0</v>
      </c>
      <c r="O53" s="54">
        <f t="shared" si="11"/>
        <v>0</v>
      </c>
      <c r="P53" s="1"/>
    </row>
    <row r="54" spans="2:16">
      <c r="B54" s="7" t="str">
        <f t="shared" si="8"/>
        <v/>
      </c>
      <c r="C54" s="50">
        <f>IF(D11="","-",+C53+1)</f>
        <v>2054</v>
      </c>
      <c r="D54" s="55">
        <f>IF(F53+SUM(E$17:E53)=D$10,F53,D$10-SUM(E$17:E53))</f>
        <v>0</v>
      </c>
      <c r="E54" s="56">
        <f t="shared" si="3"/>
        <v>0</v>
      </c>
      <c r="F54" s="55">
        <f t="shared" si="4"/>
        <v>0</v>
      </c>
      <c r="G54" s="57">
        <f t="shared" si="5"/>
        <v>0</v>
      </c>
      <c r="H54" s="42">
        <f t="shared" si="6"/>
        <v>0</v>
      </c>
      <c r="I54" s="52">
        <f t="shared" si="7"/>
        <v>0</v>
      </c>
      <c r="J54" s="52"/>
      <c r="K54" s="115"/>
      <c r="L54" s="54">
        <f t="shared" si="9"/>
        <v>0</v>
      </c>
      <c r="M54" s="115"/>
      <c r="N54" s="54">
        <f t="shared" si="10"/>
        <v>0</v>
      </c>
      <c r="O54" s="54">
        <f t="shared" si="11"/>
        <v>0</v>
      </c>
      <c r="P54" s="1"/>
    </row>
    <row r="55" spans="2:16">
      <c r="B55" s="7" t="str">
        <f t="shared" si="8"/>
        <v/>
      </c>
      <c r="C55" s="50">
        <f>IF(D11="","-",+C54+1)</f>
        <v>2055</v>
      </c>
      <c r="D55" s="55">
        <f>IF(F54+SUM(E$17:E54)=D$10,F54,D$10-SUM(E$17:E54))</f>
        <v>0</v>
      </c>
      <c r="E55" s="56">
        <f t="shared" si="3"/>
        <v>0</v>
      </c>
      <c r="F55" s="55">
        <f t="shared" si="4"/>
        <v>0</v>
      </c>
      <c r="G55" s="57">
        <f t="shared" si="5"/>
        <v>0</v>
      </c>
      <c r="H55" s="42">
        <f t="shared" si="6"/>
        <v>0</v>
      </c>
      <c r="I55" s="52">
        <f t="shared" si="7"/>
        <v>0</v>
      </c>
      <c r="J55" s="52"/>
      <c r="K55" s="115"/>
      <c r="L55" s="54">
        <f t="shared" si="9"/>
        <v>0</v>
      </c>
      <c r="M55" s="115"/>
      <c r="N55" s="54">
        <f t="shared" si="10"/>
        <v>0</v>
      </c>
      <c r="O55" s="54">
        <f t="shared" si="11"/>
        <v>0</v>
      </c>
      <c r="P55" s="1"/>
    </row>
    <row r="56" spans="2:16">
      <c r="B56" s="7" t="str">
        <f t="shared" si="8"/>
        <v/>
      </c>
      <c r="C56" s="50">
        <f>IF(D11="","-",+C55+1)</f>
        <v>2056</v>
      </c>
      <c r="D56" s="55">
        <f>IF(F55+SUM(E$17:E55)=D$10,F55,D$10-SUM(E$17:E55))</f>
        <v>0</v>
      </c>
      <c r="E56" s="56">
        <f t="shared" si="3"/>
        <v>0</v>
      </c>
      <c r="F56" s="55">
        <f t="shared" si="4"/>
        <v>0</v>
      </c>
      <c r="G56" s="57">
        <f t="shared" si="5"/>
        <v>0</v>
      </c>
      <c r="H56" s="42">
        <f t="shared" si="6"/>
        <v>0</v>
      </c>
      <c r="I56" s="52">
        <f t="shared" si="7"/>
        <v>0</v>
      </c>
      <c r="J56" s="52"/>
      <c r="K56" s="115"/>
      <c r="L56" s="54">
        <f t="shared" si="9"/>
        <v>0</v>
      </c>
      <c r="M56" s="115"/>
      <c r="N56" s="54">
        <f t="shared" si="10"/>
        <v>0</v>
      </c>
      <c r="O56" s="54">
        <f t="shared" si="11"/>
        <v>0</v>
      </c>
      <c r="P56" s="1"/>
    </row>
    <row r="57" spans="2:16">
      <c r="B57" s="7" t="str">
        <f t="shared" si="8"/>
        <v/>
      </c>
      <c r="C57" s="50">
        <f>IF(D11="","-",+C56+1)</f>
        <v>2057</v>
      </c>
      <c r="D57" s="55">
        <f>IF(F56+SUM(E$17:E56)=D$10,F56,D$10-SUM(E$17:E56))</f>
        <v>0</v>
      </c>
      <c r="E57" s="56">
        <f t="shared" si="3"/>
        <v>0</v>
      </c>
      <c r="F57" s="55">
        <f t="shared" si="4"/>
        <v>0</v>
      </c>
      <c r="G57" s="57">
        <f t="shared" si="5"/>
        <v>0</v>
      </c>
      <c r="H57" s="42">
        <f t="shared" si="6"/>
        <v>0</v>
      </c>
      <c r="I57" s="52">
        <f t="shared" si="7"/>
        <v>0</v>
      </c>
      <c r="J57" s="52"/>
      <c r="K57" s="115"/>
      <c r="L57" s="54">
        <f t="shared" si="9"/>
        <v>0</v>
      </c>
      <c r="M57" s="115"/>
      <c r="N57" s="54">
        <f t="shared" si="10"/>
        <v>0</v>
      </c>
      <c r="O57" s="54">
        <f t="shared" si="11"/>
        <v>0</v>
      </c>
      <c r="P57" s="1"/>
    </row>
    <row r="58" spans="2:16">
      <c r="B58" s="7" t="str">
        <f t="shared" si="8"/>
        <v/>
      </c>
      <c r="C58" s="50">
        <f>IF(D11="","-",+C57+1)</f>
        <v>2058</v>
      </c>
      <c r="D58" s="55">
        <f>IF(F57+SUM(E$17:E57)=D$10,F57,D$10-SUM(E$17:E57))</f>
        <v>0</v>
      </c>
      <c r="E58" s="56">
        <f t="shared" si="3"/>
        <v>0</v>
      </c>
      <c r="F58" s="55">
        <f t="shared" si="4"/>
        <v>0</v>
      </c>
      <c r="G58" s="57">
        <f t="shared" si="5"/>
        <v>0</v>
      </c>
      <c r="H58" s="42">
        <f t="shared" si="6"/>
        <v>0</v>
      </c>
      <c r="I58" s="52">
        <f t="shared" si="7"/>
        <v>0</v>
      </c>
      <c r="J58" s="52"/>
      <c r="K58" s="115"/>
      <c r="L58" s="54">
        <f t="shared" si="9"/>
        <v>0</v>
      </c>
      <c r="M58" s="115"/>
      <c r="N58" s="54">
        <f t="shared" si="10"/>
        <v>0</v>
      </c>
      <c r="O58" s="54">
        <f t="shared" si="11"/>
        <v>0</v>
      </c>
      <c r="P58" s="1"/>
    </row>
    <row r="59" spans="2:16">
      <c r="B59" s="7" t="str">
        <f t="shared" si="8"/>
        <v/>
      </c>
      <c r="C59" s="50">
        <f>IF(D11="","-",+C58+1)</f>
        <v>2059</v>
      </c>
      <c r="D59" s="55">
        <f>IF(F58+SUM(E$17:E58)=D$10,F58,D$10-SUM(E$17:E58))</f>
        <v>0</v>
      </c>
      <c r="E59" s="56">
        <f t="shared" si="3"/>
        <v>0</v>
      </c>
      <c r="F59" s="55">
        <f t="shared" si="4"/>
        <v>0</v>
      </c>
      <c r="G59" s="57">
        <f t="shared" si="5"/>
        <v>0</v>
      </c>
      <c r="H59" s="42">
        <f t="shared" si="6"/>
        <v>0</v>
      </c>
      <c r="I59" s="52">
        <f t="shared" si="7"/>
        <v>0</v>
      </c>
      <c r="J59" s="52"/>
      <c r="K59" s="115"/>
      <c r="L59" s="54">
        <f t="shared" si="9"/>
        <v>0</v>
      </c>
      <c r="M59" s="115"/>
      <c r="N59" s="54">
        <f t="shared" si="10"/>
        <v>0</v>
      </c>
      <c r="O59" s="54">
        <f t="shared" si="11"/>
        <v>0</v>
      </c>
      <c r="P59" s="1"/>
    </row>
    <row r="60" spans="2:16">
      <c r="B60" s="7" t="str">
        <f t="shared" si="8"/>
        <v/>
      </c>
      <c r="C60" s="50">
        <f>IF(D11="","-",+C59+1)</f>
        <v>2060</v>
      </c>
      <c r="D60" s="55">
        <f>IF(F59+SUM(E$17:E59)=D$10,F59,D$10-SUM(E$17:E59))</f>
        <v>0</v>
      </c>
      <c r="E60" s="56">
        <f t="shared" si="3"/>
        <v>0</v>
      </c>
      <c r="F60" s="55">
        <f t="shared" si="4"/>
        <v>0</v>
      </c>
      <c r="G60" s="57">
        <f t="shared" si="5"/>
        <v>0</v>
      </c>
      <c r="H60" s="42">
        <f t="shared" si="6"/>
        <v>0</v>
      </c>
      <c r="I60" s="52">
        <f t="shared" si="7"/>
        <v>0</v>
      </c>
      <c r="J60" s="52"/>
      <c r="K60" s="115"/>
      <c r="L60" s="54">
        <f t="shared" si="9"/>
        <v>0</v>
      </c>
      <c r="M60" s="115"/>
      <c r="N60" s="54">
        <f t="shared" si="10"/>
        <v>0</v>
      </c>
      <c r="O60" s="54">
        <f t="shared" si="11"/>
        <v>0</v>
      </c>
      <c r="P60" s="1"/>
    </row>
    <row r="61" spans="2:16">
      <c r="B61" s="7" t="str">
        <f t="shared" si="8"/>
        <v/>
      </c>
      <c r="C61" s="50">
        <f>IF(D11="","-",+C60+1)</f>
        <v>2061</v>
      </c>
      <c r="D61" s="55">
        <f>IF(F60+SUM(E$17:E60)=D$10,F60,D$10-SUM(E$17:E60))</f>
        <v>0</v>
      </c>
      <c r="E61" s="56">
        <f t="shared" si="3"/>
        <v>0</v>
      </c>
      <c r="F61" s="55">
        <f t="shared" si="4"/>
        <v>0</v>
      </c>
      <c r="G61" s="57">
        <f t="shared" si="5"/>
        <v>0</v>
      </c>
      <c r="H61" s="42">
        <f t="shared" si="6"/>
        <v>0</v>
      </c>
      <c r="I61" s="52">
        <f t="shared" si="7"/>
        <v>0</v>
      </c>
      <c r="J61" s="52"/>
      <c r="K61" s="115"/>
      <c r="L61" s="54">
        <f t="shared" si="9"/>
        <v>0</v>
      </c>
      <c r="M61" s="115"/>
      <c r="N61" s="54">
        <f t="shared" si="10"/>
        <v>0</v>
      </c>
      <c r="O61" s="54">
        <f t="shared" si="11"/>
        <v>0</v>
      </c>
      <c r="P61" s="1"/>
    </row>
    <row r="62" spans="2:16">
      <c r="B62" s="7" t="str">
        <f t="shared" si="8"/>
        <v/>
      </c>
      <c r="C62" s="50">
        <f>IF(D11="","-",+C61+1)</f>
        <v>2062</v>
      </c>
      <c r="D62" s="55">
        <f>IF(F61+SUM(E$17:E61)=D$10,F61,D$10-SUM(E$17:E61))</f>
        <v>0</v>
      </c>
      <c r="E62" s="56">
        <f t="shared" si="3"/>
        <v>0</v>
      </c>
      <c r="F62" s="55">
        <f t="shared" si="4"/>
        <v>0</v>
      </c>
      <c r="G62" s="57">
        <f t="shared" si="5"/>
        <v>0</v>
      </c>
      <c r="H62" s="42">
        <f t="shared" si="6"/>
        <v>0</v>
      </c>
      <c r="I62" s="52">
        <f t="shared" si="7"/>
        <v>0</v>
      </c>
      <c r="J62" s="52"/>
      <c r="K62" s="115"/>
      <c r="L62" s="54">
        <f t="shared" si="9"/>
        <v>0</v>
      </c>
      <c r="M62" s="115"/>
      <c r="N62" s="54">
        <f t="shared" si="10"/>
        <v>0</v>
      </c>
      <c r="O62" s="54">
        <f t="shared" si="11"/>
        <v>0</v>
      </c>
      <c r="P62" s="1"/>
    </row>
    <row r="63" spans="2:16">
      <c r="B63" s="7" t="str">
        <f t="shared" si="8"/>
        <v/>
      </c>
      <c r="C63" s="50">
        <f>IF(D11="","-",+C62+1)</f>
        <v>2063</v>
      </c>
      <c r="D63" s="55">
        <f>IF(F62+SUM(E$17:E62)=D$10,F62,D$10-SUM(E$17:E62))</f>
        <v>0</v>
      </c>
      <c r="E63" s="56">
        <f t="shared" si="3"/>
        <v>0</v>
      </c>
      <c r="F63" s="55">
        <f t="shared" si="4"/>
        <v>0</v>
      </c>
      <c r="G63" s="57">
        <f t="shared" si="5"/>
        <v>0</v>
      </c>
      <c r="H63" s="42">
        <f t="shared" si="6"/>
        <v>0</v>
      </c>
      <c r="I63" s="52">
        <f t="shared" si="7"/>
        <v>0</v>
      </c>
      <c r="J63" s="52"/>
      <c r="K63" s="115"/>
      <c r="L63" s="54">
        <f t="shared" si="9"/>
        <v>0</v>
      </c>
      <c r="M63" s="115"/>
      <c r="N63" s="54">
        <f t="shared" si="10"/>
        <v>0</v>
      </c>
      <c r="O63" s="54">
        <f t="shared" si="11"/>
        <v>0</v>
      </c>
      <c r="P63" s="1"/>
    </row>
    <row r="64" spans="2:16">
      <c r="B64" s="7" t="str">
        <f t="shared" si="8"/>
        <v/>
      </c>
      <c r="C64" s="50">
        <f>IF(D11="","-",+C63+1)</f>
        <v>2064</v>
      </c>
      <c r="D64" s="55">
        <f>IF(F63+SUM(E$17:E63)=D$10,F63,D$10-SUM(E$17:E63))</f>
        <v>0</v>
      </c>
      <c r="E64" s="56">
        <f t="shared" si="3"/>
        <v>0</v>
      </c>
      <c r="F64" s="55">
        <f t="shared" si="4"/>
        <v>0</v>
      </c>
      <c r="G64" s="57">
        <f t="shared" si="5"/>
        <v>0</v>
      </c>
      <c r="H64" s="42">
        <f t="shared" si="6"/>
        <v>0</v>
      </c>
      <c r="I64" s="52">
        <f t="shared" si="7"/>
        <v>0</v>
      </c>
      <c r="J64" s="52"/>
      <c r="K64" s="115"/>
      <c r="L64" s="54">
        <f t="shared" si="9"/>
        <v>0</v>
      </c>
      <c r="M64" s="115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8"/>
        <v/>
      </c>
      <c r="C65" s="50">
        <f>IF(D11="","-",+C64+1)</f>
        <v>2065</v>
      </c>
      <c r="D65" s="55">
        <f>IF(F64+SUM(E$17:E64)=D$10,F64,D$10-SUM(E$17:E64))</f>
        <v>0</v>
      </c>
      <c r="E65" s="56">
        <f t="shared" si="3"/>
        <v>0</v>
      </c>
      <c r="F65" s="55">
        <f t="shared" si="4"/>
        <v>0</v>
      </c>
      <c r="G65" s="57">
        <f t="shared" si="5"/>
        <v>0</v>
      </c>
      <c r="H65" s="42">
        <f t="shared" si="6"/>
        <v>0</v>
      </c>
      <c r="I65" s="52">
        <f t="shared" si="7"/>
        <v>0</v>
      </c>
      <c r="J65" s="52"/>
      <c r="K65" s="115"/>
      <c r="L65" s="54">
        <f t="shared" si="9"/>
        <v>0</v>
      </c>
      <c r="M65" s="115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8"/>
        <v/>
      </c>
      <c r="C66" s="50">
        <f>IF(D11="","-",+C65+1)</f>
        <v>2066</v>
      </c>
      <c r="D66" s="55">
        <f>IF(F65+SUM(E$17:E65)=D$10,F65,D$10-SUM(E$17:E65))</f>
        <v>0</v>
      </c>
      <c r="E66" s="56">
        <f t="shared" si="3"/>
        <v>0</v>
      </c>
      <c r="F66" s="55">
        <f t="shared" si="4"/>
        <v>0</v>
      </c>
      <c r="G66" s="57">
        <f t="shared" si="5"/>
        <v>0</v>
      </c>
      <c r="H66" s="42">
        <f t="shared" si="6"/>
        <v>0</v>
      </c>
      <c r="I66" s="52">
        <f t="shared" si="7"/>
        <v>0</v>
      </c>
      <c r="J66" s="52"/>
      <c r="K66" s="115"/>
      <c r="L66" s="54">
        <f t="shared" si="9"/>
        <v>0</v>
      </c>
      <c r="M66" s="115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8"/>
        <v/>
      </c>
      <c r="C67" s="50">
        <f>IF(D11="","-",+C66+1)</f>
        <v>2067</v>
      </c>
      <c r="D67" s="55">
        <f>IF(F66+SUM(E$17:E66)=D$10,F66,D$10-SUM(E$17:E66))</f>
        <v>0</v>
      </c>
      <c r="E67" s="56">
        <f t="shared" si="3"/>
        <v>0</v>
      </c>
      <c r="F67" s="55">
        <f t="shared" si="4"/>
        <v>0</v>
      </c>
      <c r="G67" s="57">
        <f t="shared" si="5"/>
        <v>0</v>
      </c>
      <c r="H67" s="42">
        <f t="shared" si="6"/>
        <v>0</v>
      </c>
      <c r="I67" s="52">
        <f t="shared" si="7"/>
        <v>0</v>
      </c>
      <c r="J67" s="52"/>
      <c r="K67" s="115"/>
      <c r="L67" s="54">
        <f t="shared" si="9"/>
        <v>0</v>
      </c>
      <c r="M67" s="115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8"/>
        <v/>
      </c>
      <c r="C68" s="50">
        <f>IF(D11="","-",+C67+1)</f>
        <v>2068</v>
      </c>
      <c r="D68" s="55">
        <f>IF(F67+SUM(E$17:E67)=D$10,F67,D$10-SUM(E$17:E67))</f>
        <v>0</v>
      </c>
      <c r="E68" s="56">
        <f t="shared" si="3"/>
        <v>0</v>
      </c>
      <c r="F68" s="55">
        <f t="shared" si="4"/>
        <v>0</v>
      </c>
      <c r="G68" s="57">
        <f t="shared" si="5"/>
        <v>0</v>
      </c>
      <c r="H68" s="42">
        <f t="shared" si="6"/>
        <v>0</v>
      </c>
      <c r="I68" s="52">
        <f t="shared" si="7"/>
        <v>0</v>
      </c>
      <c r="J68" s="52"/>
      <c r="K68" s="115"/>
      <c r="L68" s="54">
        <f t="shared" si="9"/>
        <v>0</v>
      </c>
      <c r="M68" s="115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8"/>
        <v/>
      </c>
      <c r="C69" s="50">
        <f>IF(D11="","-",+C68+1)</f>
        <v>2069</v>
      </c>
      <c r="D69" s="55">
        <f>IF(F68+SUM(E$17:E68)=D$10,F68,D$10-SUM(E$17:E68))</f>
        <v>0</v>
      </c>
      <c r="E69" s="56">
        <f t="shared" si="3"/>
        <v>0</v>
      </c>
      <c r="F69" s="55">
        <f t="shared" si="4"/>
        <v>0</v>
      </c>
      <c r="G69" s="57">
        <f t="shared" si="5"/>
        <v>0</v>
      </c>
      <c r="H69" s="42">
        <f t="shared" si="6"/>
        <v>0</v>
      </c>
      <c r="I69" s="52">
        <f t="shared" si="7"/>
        <v>0</v>
      </c>
      <c r="J69" s="52"/>
      <c r="K69" s="115"/>
      <c r="L69" s="54">
        <f t="shared" si="9"/>
        <v>0</v>
      </c>
      <c r="M69" s="115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8"/>
        <v/>
      </c>
      <c r="C70" s="50">
        <f>IF(D11="","-",+C69+1)</f>
        <v>2070</v>
      </c>
      <c r="D70" s="55">
        <f>IF(F69+SUM(E$17:E69)=D$10,F69,D$10-SUM(E$17:E69))</f>
        <v>0</v>
      </c>
      <c r="E70" s="56">
        <f t="shared" si="3"/>
        <v>0</v>
      </c>
      <c r="F70" s="55">
        <f t="shared" si="4"/>
        <v>0</v>
      </c>
      <c r="G70" s="57">
        <f t="shared" si="5"/>
        <v>0</v>
      </c>
      <c r="H70" s="42">
        <f t="shared" si="6"/>
        <v>0</v>
      </c>
      <c r="I70" s="52">
        <f t="shared" si="7"/>
        <v>0</v>
      </c>
      <c r="J70" s="52"/>
      <c r="K70" s="115"/>
      <c r="L70" s="54">
        <f t="shared" si="9"/>
        <v>0</v>
      </c>
      <c r="M70" s="115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8"/>
        <v/>
      </c>
      <c r="C71" s="50">
        <f>IF(D11="","-",+C70+1)</f>
        <v>2071</v>
      </c>
      <c r="D71" s="55">
        <f>IF(F70+SUM(E$17:E70)=D$10,F70,D$10-SUM(E$17:E70))</f>
        <v>0</v>
      </c>
      <c r="E71" s="56">
        <f t="shared" si="3"/>
        <v>0</v>
      </c>
      <c r="F71" s="55">
        <f t="shared" si="4"/>
        <v>0</v>
      </c>
      <c r="G71" s="57">
        <f t="shared" si="5"/>
        <v>0</v>
      </c>
      <c r="H71" s="42">
        <f t="shared" si="6"/>
        <v>0</v>
      </c>
      <c r="I71" s="52">
        <f t="shared" si="7"/>
        <v>0</v>
      </c>
      <c r="J71" s="52"/>
      <c r="K71" s="115"/>
      <c r="L71" s="54">
        <f t="shared" si="9"/>
        <v>0</v>
      </c>
      <c r="M71" s="115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8"/>
        <v/>
      </c>
      <c r="C72" s="58">
        <f>IF(D11="","-",+C71+1)</f>
        <v>2072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9"/>
        <v>0</v>
      </c>
      <c r="M72" s="116"/>
      <c r="N72" s="62">
        <f t="shared" si="10"/>
        <v>0</v>
      </c>
      <c r="O72" s="62">
        <f t="shared" si="11"/>
        <v>0</v>
      </c>
      <c r="P72" s="1"/>
    </row>
    <row r="73" spans="2:16">
      <c r="C73" s="12" t="s">
        <v>77</v>
      </c>
      <c r="D73" s="14"/>
      <c r="E73" s="14">
        <f>SUM(E17:E72)</f>
        <v>0</v>
      </c>
      <c r="F73" s="14"/>
      <c r="G73" s="14">
        <f>SUM(G17:G72)</f>
        <v>0</v>
      </c>
      <c r="H73" s="14">
        <f>SUM(H17:H72)</f>
        <v>0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nk of 36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5.75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2025</v>
      </c>
      <c r="M86" s="102" t="s">
        <v>8</v>
      </c>
      <c r="N86" s="103" t="s">
        <v>153</v>
      </c>
      <c r="O86" s="104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0</v>
      </c>
      <c r="N87" s="66">
        <f>IF(J92&lt;D11,0,VLOOKUP(J92,C17:O72,11))</f>
        <v>0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0</v>
      </c>
      <c r="N88" s="68">
        <f>IF(J92&lt;D11,0,VLOOKUP(J92,C99:P154,7))</f>
        <v>0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inset project name here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0</v>
      </c>
      <c r="N89" s="71">
        <f>+N88-N87</f>
        <v>0</v>
      </c>
      <c r="O89" s="72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>
        <f>+D9</f>
        <v>0</v>
      </c>
      <c r="E91" s="74"/>
      <c r="F91" s="74"/>
      <c r="G91" s="74"/>
      <c r="H91" s="74"/>
      <c r="I91" s="74"/>
      <c r="J91" s="74"/>
    </row>
    <row r="92" spans="1:16">
      <c r="C92" s="128" t="s">
        <v>226</v>
      </c>
      <c r="D92" s="85">
        <f>IF(D11=I10,0,D10)</f>
        <v>0</v>
      </c>
      <c r="E92" s="1" t="s">
        <v>94</v>
      </c>
      <c r="H92" s="2"/>
      <c r="I92" s="2"/>
      <c r="J92" s="36">
        <f>+'PSO.WS.G.BPU.ATRR.True-up'!M16</f>
        <v>2025</v>
      </c>
      <c r="K92" s="34"/>
      <c r="L92" s="14" t="s">
        <v>95</v>
      </c>
      <c r="P92" s="1"/>
    </row>
    <row r="93" spans="1:16">
      <c r="C93" s="37" t="s">
        <v>53</v>
      </c>
      <c r="D93" s="86">
        <v>2015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85">
        <f>IF(D11=I10,"",D12)</f>
        <v>4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14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0</v>
      </c>
      <c r="K96" s="14"/>
      <c r="L96" s="14"/>
      <c r="M96" s="14"/>
      <c r="N96" s="14"/>
      <c r="O96" s="14"/>
      <c r="P96" s="1"/>
    </row>
    <row r="97" spans="1:16" ht="38.25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281</v>
      </c>
      <c r="I97" s="118" t="s">
        <v>282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>
      <c r="C99" s="50">
        <f>IF(D93= "","-",D93)</f>
        <v>2015</v>
      </c>
      <c r="D99" s="12">
        <v>0</v>
      </c>
      <c r="E99" s="57">
        <f>IF(OR(D11=I10,D92&lt;100000),0,J$96/12*(12-D94))</f>
        <v>0</v>
      </c>
      <c r="F99" s="55">
        <f>IF(D93=C99,+D92-E99,+D99-E99)</f>
        <v>0</v>
      </c>
      <c r="G99" s="81">
        <f>+(F99+D99)/2</f>
        <v>0</v>
      </c>
      <c r="H99" s="81">
        <f>+J$94*G99+E99</f>
        <v>0</v>
      </c>
      <c r="I99" s="81">
        <f>+J$95*G99+E99</f>
        <v>0</v>
      </c>
      <c r="J99" s="54">
        <f>+I99-H99</f>
        <v>0</v>
      </c>
      <c r="K99" s="54"/>
      <c r="L99" s="114"/>
      <c r="M99" s="53">
        <f t="shared" ref="M99:M130" si="12">IF(L99&lt;&gt;0,+H99-L99,0)</f>
        <v>0</v>
      </c>
      <c r="N99" s="114"/>
      <c r="O99" s="53">
        <f t="shared" ref="O99:O130" si="13">IF(N99&lt;&gt;0,+I99-N99,0)</f>
        <v>0</v>
      </c>
      <c r="P99" s="53">
        <f t="shared" ref="P99:P130" si="14">+O99-M99</f>
        <v>0</v>
      </c>
    </row>
    <row r="100" spans="1:16">
      <c r="B100" s="7" t="str">
        <f>IF(D100=F99,"","IU")</f>
        <v/>
      </c>
      <c r="C100" s="50">
        <f>IF(D93="","-",+C99+1)</f>
        <v>2016</v>
      </c>
      <c r="D100" s="12">
        <f>IF(F99+SUM(E$99:E99)=D$92,F99,D$92-SUM(E$99:E99))</f>
        <v>0</v>
      </c>
      <c r="E100" s="56">
        <f>IF(+J$96&lt;F99,J$96,D100)</f>
        <v>0</v>
      </c>
      <c r="F100" s="55">
        <f>+D100-E100</f>
        <v>0</v>
      </c>
      <c r="G100" s="55">
        <f>+(F100+D100)/2</f>
        <v>0</v>
      </c>
      <c r="H100" s="113">
        <f t="shared" ref="H100:H154" si="15">+J$94*G100+E100</f>
        <v>0</v>
      </c>
      <c r="I100" s="122">
        <f t="shared" ref="I100:I154" si="16">+J$95*G100+E100</f>
        <v>0</v>
      </c>
      <c r="J100" s="54">
        <f t="shared" ref="J100:J130" si="17">+I100-H100</f>
        <v>0</v>
      </c>
      <c r="K100" s="54"/>
      <c r="L100" s="115"/>
      <c r="M100" s="54">
        <f t="shared" si="12"/>
        <v>0</v>
      </c>
      <c r="N100" s="115"/>
      <c r="O100" s="54">
        <f t="shared" si="13"/>
        <v>0</v>
      </c>
      <c r="P100" s="54">
        <f t="shared" si="14"/>
        <v>0</v>
      </c>
    </row>
    <row r="101" spans="1:16">
      <c r="B101" s="7" t="str">
        <f t="shared" ref="B101:B154" si="18">IF(D101=F100,"","IU")</f>
        <v/>
      </c>
      <c r="C101" s="50">
        <f>IF(D93="","-",+C100+1)</f>
        <v>2017</v>
      </c>
      <c r="D101" s="12">
        <f>IF(F100+SUM(E$99:E100)=D$92,F100,D$92-SUM(E$99:E100))</f>
        <v>0</v>
      </c>
      <c r="E101" s="56">
        <f t="shared" ref="E101:E154" si="19">IF(+J$96&lt;F100,J$96,D101)</f>
        <v>0</v>
      </c>
      <c r="F101" s="55">
        <f t="shared" ref="F101:F154" si="20">+D101-E101</f>
        <v>0</v>
      </c>
      <c r="G101" s="55">
        <f t="shared" ref="G101:G154" si="21">+(F101+D101)/2</f>
        <v>0</v>
      </c>
      <c r="H101" s="113">
        <f t="shared" si="15"/>
        <v>0</v>
      </c>
      <c r="I101" s="122">
        <f t="shared" si="16"/>
        <v>0</v>
      </c>
      <c r="J101" s="54">
        <f t="shared" si="17"/>
        <v>0</v>
      </c>
      <c r="K101" s="54"/>
      <c r="L101" s="115"/>
      <c r="M101" s="54">
        <f t="shared" si="12"/>
        <v>0</v>
      </c>
      <c r="N101" s="115"/>
      <c r="O101" s="54">
        <f t="shared" si="13"/>
        <v>0</v>
      </c>
      <c r="P101" s="54">
        <f t="shared" si="14"/>
        <v>0</v>
      </c>
    </row>
    <row r="102" spans="1:16">
      <c r="B102" s="7" t="str">
        <f t="shared" si="18"/>
        <v/>
      </c>
      <c r="C102" s="50">
        <f>IF(D93="","-",+C101+1)</f>
        <v>2018</v>
      </c>
      <c r="D102" s="12">
        <f>IF(F101+SUM(E$99:E101)=D$92,F101,D$92-SUM(E$99:E101))</f>
        <v>0</v>
      </c>
      <c r="E102" s="56">
        <f t="shared" si="19"/>
        <v>0</v>
      </c>
      <c r="F102" s="55">
        <f t="shared" si="20"/>
        <v>0</v>
      </c>
      <c r="G102" s="55">
        <f t="shared" si="21"/>
        <v>0</v>
      </c>
      <c r="H102" s="113">
        <f t="shared" si="15"/>
        <v>0</v>
      </c>
      <c r="I102" s="122">
        <f t="shared" si="16"/>
        <v>0</v>
      </c>
      <c r="J102" s="54">
        <f t="shared" si="17"/>
        <v>0</v>
      </c>
      <c r="K102" s="54"/>
      <c r="L102" s="115"/>
      <c r="M102" s="54">
        <f t="shared" si="12"/>
        <v>0</v>
      </c>
      <c r="N102" s="115"/>
      <c r="O102" s="54">
        <f t="shared" si="13"/>
        <v>0</v>
      </c>
      <c r="P102" s="54">
        <f t="shared" si="14"/>
        <v>0</v>
      </c>
    </row>
    <row r="103" spans="1:16">
      <c r="B103" s="7" t="str">
        <f t="shared" si="18"/>
        <v/>
      </c>
      <c r="C103" s="50">
        <f>IF(D93="","-",+C102+1)</f>
        <v>2019</v>
      </c>
      <c r="D103" s="12">
        <f>IF(F102+SUM(E$99:E102)=D$92,F102,D$92-SUM(E$99:E102))</f>
        <v>0</v>
      </c>
      <c r="E103" s="56">
        <f t="shared" si="19"/>
        <v>0</v>
      </c>
      <c r="F103" s="55">
        <f t="shared" si="20"/>
        <v>0</v>
      </c>
      <c r="G103" s="55">
        <f t="shared" si="21"/>
        <v>0</v>
      </c>
      <c r="H103" s="113">
        <f t="shared" si="15"/>
        <v>0</v>
      </c>
      <c r="I103" s="122">
        <f t="shared" si="16"/>
        <v>0</v>
      </c>
      <c r="J103" s="54">
        <f t="shared" si="17"/>
        <v>0</v>
      </c>
      <c r="K103" s="54"/>
      <c r="L103" s="115"/>
      <c r="M103" s="54">
        <f t="shared" si="12"/>
        <v>0</v>
      </c>
      <c r="N103" s="115"/>
      <c r="O103" s="54">
        <f t="shared" si="13"/>
        <v>0</v>
      </c>
      <c r="P103" s="54">
        <f t="shared" si="14"/>
        <v>0</v>
      </c>
    </row>
    <row r="104" spans="1:16">
      <c r="B104" s="7" t="str">
        <f t="shared" si="18"/>
        <v/>
      </c>
      <c r="C104" s="50">
        <f>IF(D93="","-",+C103+1)</f>
        <v>2020</v>
      </c>
      <c r="D104" s="12">
        <f>IF(F103+SUM(E$99:E103)=D$92,F103,D$92-SUM(E$99:E103))</f>
        <v>0</v>
      </c>
      <c r="E104" s="56">
        <f t="shared" si="19"/>
        <v>0</v>
      </c>
      <c r="F104" s="55">
        <f t="shared" si="20"/>
        <v>0</v>
      </c>
      <c r="G104" s="55">
        <f t="shared" si="21"/>
        <v>0</v>
      </c>
      <c r="H104" s="113">
        <f t="shared" si="15"/>
        <v>0</v>
      </c>
      <c r="I104" s="122">
        <f t="shared" si="16"/>
        <v>0</v>
      </c>
      <c r="J104" s="54">
        <f t="shared" si="17"/>
        <v>0</v>
      </c>
      <c r="K104" s="54"/>
      <c r="L104" s="115"/>
      <c r="M104" s="54">
        <f t="shared" si="12"/>
        <v>0</v>
      </c>
      <c r="N104" s="115"/>
      <c r="O104" s="54">
        <f t="shared" si="13"/>
        <v>0</v>
      </c>
      <c r="P104" s="54">
        <f t="shared" si="14"/>
        <v>0</v>
      </c>
    </row>
    <row r="105" spans="1:16">
      <c r="B105" s="7" t="str">
        <f t="shared" si="18"/>
        <v/>
      </c>
      <c r="C105" s="50">
        <f>IF(D93="","-",+C104+1)</f>
        <v>2021</v>
      </c>
      <c r="D105" s="12">
        <f>IF(F104+SUM(E$99:E104)=D$92,F104,D$92-SUM(E$99:E104))</f>
        <v>0</v>
      </c>
      <c r="E105" s="56">
        <f t="shared" si="19"/>
        <v>0</v>
      </c>
      <c r="F105" s="55">
        <f t="shared" si="20"/>
        <v>0</v>
      </c>
      <c r="G105" s="55">
        <f t="shared" si="21"/>
        <v>0</v>
      </c>
      <c r="H105" s="113">
        <f t="shared" si="15"/>
        <v>0</v>
      </c>
      <c r="I105" s="122">
        <f t="shared" si="16"/>
        <v>0</v>
      </c>
      <c r="J105" s="54">
        <f t="shared" si="17"/>
        <v>0</v>
      </c>
      <c r="K105" s="54"/>
      <c r="L105" s="115"/>
      <c r="M105" s="54">
        <f t="shared" si="12"/>
        <v>0</v>
      </c>
      <c r="N105" s="115"/>
      <c r="O105" s="54">
        <f t="shared" si="13"/>
        <v>0</v>
      </c>
      <c r="P105" s="54">
        <f t="shared" si="14"/>
        <v>0</v>
      </c>
    </row>
    <row r="106" spans="1:16">
      <c r="B106" s="7" t="str">
        <f t="shared" si="18"/>
        <v/>
      </c>
      <c r="C106" s="50">
        <f>IF(D93="","-",+C105+1)</f>
        <v>2022</v>
      </c>
      <c r="D106" s="12">
        <f>IF(F105+SUM(E$99:E105)=D$92,F105,D$92-SUM(E$99:E105))</f>
        <v>0</v>
      </c>
      <c r="E106" s="56">
        <f t="shared" si="19"/>
        <v>0</v>
      </c>
      <c r="F106" s="55">
        <f t="shared" si="20"/>
        <v>0</v>
      </c>
      <c r="G106" s="55">
        <f t="shared" si="21"/>
        <v>0</v>
      </c>
      <c r="H106" s="113">
        <f t="shared" si="15"/>
        <v>0</v>
      </c>
      <c r="I106" s="122">
        <f t="shared" si="16"/>
        <v>0</v>
      </c>
      <c r="J106" s="54">
        <f t="shared" si="17"/>
        <v>0</v>
      </c>
      <c r="K106" s="54"/>
      <c r="L106" s="115"/>
      <c r="M106" s="54">
        <f t="shared" si="12"/>
        <v>0</v>
      </c>
      <c r="N106" s="115"/>
      <c r="O106" s="54">
        <f t="shared" si="13"/>
        <v>0</v>
      </c>
      <c r="P106" s="54">
        <f t="shared" si="14"/>
        <v>0</v>
      </c>
    </row>
    <row r="107" spans="1:16">
      <c r="B107" s="7" t="str">
        <f t="shared" si="18"/>
        <v/>
      </c>
      <c r="C107" s="50">
        <f>IF(D93="","-",+C106+1)</f>
        <v>2023</v>
      </c>
      <c r="D107" s="12">
        <f>IF(F106+SUM(E$99:E106)=D$92,F106,D$92-SUM(E$99:E106))</f>
        <v>0</v>
      </c>
      <c r="E107" s="56">
        <f t="shared" si="19"/>
        <v>0</v>
      </c>
      <c r="F107" s="55">
        <f t="shared" si="20"/>
        <v>0</v>
      </c>
      <c r="G107" s="55">
        <f t="shared" si="21"/>
        <v>0</v>
      </c>
      <c r="H107" s="113">
        <f t="shared" si="15"/>
        <v>0</v>
      </c>
      <c r="I107" s="122">
        <f t="shared" si="16"/>
        <v>0</v>
      </c>
      <c r="J107" s="54">
        <f t="shared" si="17"/>
        <v>0</v>
      </c>
      <c r="K107" s="54"/>
      <c r="L107" s="115"/>
      <c r="M107" s="54">
        <f t="shared" si="12"/>
        <v>0</v>
      </c>
      <c r="N107" s="115"/>
      <c r="O107" s="54">
        <f t="shared" si="13"/>
        <v>0</v>
      </c>
      <c r="P107" s="54">
        <f t="shared" si="14"/>
        <v>0</v>
      </c>
    </row>
    <row r="108" spans="1:16">
      <c r="B108" s="7" t="str">
        <f t="shared" si="18"/>
        <v/>
      </c>
      <c r="C108" s="50">
        <f>IF(D93="","-",+C107+1)</f>
        <v>2024</v>
      </c>
      <c r="D108" s="12">
        <f>IF(F107+SUM(E$99:E107)=D$92,F107,D$92-SUM(E$99:E107))</f>
        <v>0</v>
      </c>
      <c r="E108" s="56">
        <f t="shared" si="19"/>
        <v>0</v>
      </c>
      <c r="F108" s="55">
        <f t="shared" si="20"/>
        <v>0</v>
      </c>
      <c r="G108" s="55">
        <f t="shared" si="21"/>
        <v>0</v>
      </c>
      <c r="H108" s="113">
        <f t="shared" si="15"/>
        <v>0</v>
      </c>
      <c r="I108" s="122">
        <f t="shared" si="16"/>
        <v>0</v>
      </c>
      <c r="J108" s="54">
        <f t="shared" si="17"/>
        <v>0</v>
      </c>
      <c r="K108" s="54"/>
      <c r="L108" s="115"/>
      <c r="M108" s="54">
        <f t="shared" si="12"/>
        <v>0</v>
      </c>
      <c r="N108" s="115"/>
      <c r="O108" s="54">
        <f t="shared" si="13"/>
        <v>0</v>
      </c>
      <c r="P108" s="54">
        <f t="shared" si="14"/>
        <v>0</v>
      </c>
    </row>
    <row r="109" spans="1:16">
      <c r="B109" s="7" t="str">
        <f t="shared" si="18"/>
        <v/>
      </c>
      <c r="C109" s="50">
        <f>IF(D93="","-",+C108+1)</f>
        <v>2025</v>
      </c>
      <c r="D109" s="12">
        <f>IF(F108+SUM(E$99:E108)=D$92,F108,D$92-SUM(E$99:E108))</f>
        <v>0</v>
      </c>
      <c r="E109" s="56">
        <f t="shared" si="19"/>
        <v>0</v>
      </c>
      <c r="F109" s="55">
        <f t="shared" si="20"/>
        <v>0</v>
      </c>
      <c r="G109" s="55">
        <f t="shared" si="21"/>
        <v>0</v>
      </c>
      <c r="H109" s="113">
        <f t="shared" si="15"/>
        <v>0</v>
      </c>
      <c r="I109" s="122">
        <f t="shared" si="16"/>
        <v>0</v>
      </c>
      <c r="J109" s="54">
        <f t="shared" si="17"/>
        <v>0</v>
      </c>
      <c r="K109" s="54"/>
      <c r="L109" s="115"/>
      <c r="M109" s="54">
        <f t="shared" si="12"/>
        <v>0</v>
      </c>
      <c r="N109" s="115"/>
      <c r="O109" s="54">
        <f t="shared" si="13"/>
        <v>0</v>
      </c>
      <c r="P109" s="54">
        <f t="shared" si="14"/>
        <v>0</v>
      </c>
    </row>
    <row r="110" spans="1:16">
      <c r="B110" s="7" t="str">
        <f t="shared" si="18"/>
        <v/>
      </c>
      <c r="C110" s="50">
        <f>IF(D93="","-",+C109+1)</f>
        <v>2026</v>
      </c>
      <c r="D110" s="12">
        <f>IF(F109+SUM(E$99:E109)=D$92,F109,D$92-SUM(E$99:E109))</f>
        <v>0</v>
      </c>
      <c r="E110" s="56">
        <f t="shared" si="19"/>
        <v>0</v>
      </c>
      <c r="F110" s="55">
        <f t="shared" si="20"/>
        <v>0</v>
      </c>
      <c r="G110" s="55">
        <f t="shared" si="21"/>
        <v>0</v>
      </c>
      <c r="H110" s="113">
        <f t="shared" si="15"/>
        <v>0</v>
      </c>
      <c r="I110" s="122">
        <f t="shared" si="16"/>
        <v>0</v>
      </c>
      <c r="J110" s="54">
        <f t="shared" si="17"/>
        <v>0</v>
      </c>
      <c r="K110" s="54"/>
      <c r="L110" s="115"/>
      <c r="M110" s="54">
        <f t="shared" si="12"/>
        <v>0</v>
      </c>
      <c r="N110" s="115"/>
      <c r="O110" s="54">
        <f t="shared" si="13"/>
        <v>0</v>
      </c>
      <c r="P110" s="54">
        <f t="shared" si="14"/>
        <v>0</v>
      </c>
    </row>
    <row r="111" spans="1:16">
      <c r="B111" s="7" t="str">
        <f t="shared" si="18"/>
        <v/>
      </c>
      <c r="C111" s="50">
        <f>IF(D93="","-",+C110+1)</f>
        <v>2027</v>
      </c>
      <c r="D111" s="12">
        <f>IF(F110+SUM(E$99:E110)=D$92,F110,D$92-SUM(E$99:E110))</f>
        <v>0</v>
      </c>
      <c r="E111" s="56">
        <f t="shared" si="19"/>
        <v>0</v>
      </c>
      <c r="F111" s="55">
        <f t="shared" si="20"/>
        <v>0</v>
      </c>
      <c r="G111" s="55">
        <f t="shared" si="21"/>
        <v>0</v>
      </c>
      <c r="H111" s="113">
        <f t="shared" si="15"/>
        <v>0</v>
      </c>
      <c r="I111" s="122">
        <f t="shared" si="16"/>
        <v>0</v>
      </c>
      <c r="J111" s="54">
        <f t="shared" si="17"/>
        <v>0</v>
      </c>
      <c r="K111" s="54"/>
      <c r="L111" s="115"/>
      <c r="M111" s="54">
        <f t="shared" si="12"/>
        <v>0</v>
      </c>
      <c r="N111" s="115"/>
      <c r="O111" s="54">
        <f t="shared" si="13"/>
        <v>0</v>
      </c>
      <c r="P111" s="54">
        <f t="shared" si="14"/>
        <v>0</v>
      </c>
    </row>
    <row r="112" spans="1:16">
      <c r="B112" s="7" t="str">
        <f t="shared" si="18"/>
        <v/>
      </c>
      <c r="C112" s="50">
        <f>IF(D93="","-",+C111+1)</f>
        <v>2028</v>
      </c>
      <c r="D112" s="12">
        <f>IF(F111+SUM(E$99:E111)=D$92,F111,D$92-SUM(E$99:E111))</f>
        <v>0</v>
      </c>
      <c r="E112" s="56">
        <f t="shared" si="19"/>
        <v>0</v>
      </c>
      <c r="F112" s="55">
        <f t="shared" si="20"/>
        <v>0</v>
      </c>
      <c r="G112" s="55">
        <f t="shared" si="21"/>
        <v>0</v>
      </c>
      <c r="H112" s="113">
        <f t="shared" si="15"/>
        <v>0</v>
      </c>
      <c r="I112" s="122">
        <f t="shared" si="16"/>
        <v>0</v>
      </c>
      <c r="J112" s="54">
        <f t="shared" si="17"/>
        <v>0</v>
      </c>
      <c r="K112" s="54"/>
      <c r="L112" s="115"/>
      <c r="M112" s="54">
        <f t="shared" si="12"/>
        <v>0</v>
      </c>
      <c r="N112" s="115"/>
      <c r="O112" s="54">
        <f t="shared" si="13"/>
        <v>0</v>
      </c>
      <c r="P112" s="54">
        <f t="shared" si="14"/>
        <v>0</v>
      </c>
    </row>
    <row r="113" spans="2:16">
      <c r="B113" s="7" t="str">
        <f t="shared" si="18"/>
        <v/>
      </c>
      <c r="C113" s="50">
        <f>IF(D93="","-",+C112+1)</f>
        <v>2029</v>
      </c>
      <c r="D113" s="12">
        <f>IF(F112+SUM(E$99:E112)=D$92,F112,D$92-SUM(E$99:E112))</f>
        <v>0</v>
      </c>
      <c r="E113" s="56">
        <f t="shared" si="19"/>
        <v>0</v>
      </c>
      <c r="F113" s="55">
        <f t="shared" si="20"/>
        <v>0</v>
      </c>
      <c r="G113" s="55">
        <f t="shared" si="21"/>
        <v>0</v>
      </c>
      <c r="H113" s="113">
        <f t="shared" si="15"/>
        <v>0</v>
      </c>
      <c r="I113" s="122">
        <f t="shared" si="16"/>
        <v>0</v>
      </c>
      <c r="J113" s="54">
        <f t="shared" si="17"/>
        <v>0</v>
      </c>
      <c r="K113" s="54"/>
      <c r="L113" s="115"/>
      <c r="M113" s="54">
        <f t="shared" si="12"/>
        <v>0</v>
      </c>
      <c r="N113" s="115"/>
      <c r="O113" s="54">
        <f t="shared" si="13"/>
        <v>0</v>
      </c>
      <c r="P113" s="54">
        <f t="shared" si="14"/>
        <v>0</v>
      </c>
    </row>
    <row r="114" spans="2:16">
      <c r="B114" s="7" t="str">
        <f t="shared" si="18"/>
        <v/>
      </c>
      <c r="C114" s="50">
        <f>IF(D93="","-",+C113+1)</f>
        <v>2030</v>
      </c>
      <c r="D114" s="12">
        <f>IF(F113+SUM(E$99:E113)=D$92,F113,D$92-SUM(E$99:E113))</f>
        <v>0</v>
      </c>
      <c r="E114" s="56">
        <f t="shared" si="19"/>
        <v>0</v>
      </c>
      <c r="F114" s="55">
        <f t="shared" si="20"/>
        <v>0</v>
      </c>
      <c r="G114" s="55">
        <f t="shared" si="21"/>
        <v>0</v>
      </c>
      <c r="H114" s="113">
        <f t="shared" si="15"/>
        <v>0</v>
      </c>
      <c r="I114" s="122">
        <f t="shared" si="16"/>
        <v>0</v>
      </c>
      <c r="J114" s="54">
        <f t="shared" si="17"/>
        <v>0</v>
      </c>
      <c r="K114" s="54"/>
      <c r="L114" s="115"/>
      <c r="M114" s="54">
        <f t="shared" si="12"/>
        <v>0</v>
      </c>
      <c r="N114" s="115"/>
      <c r="O114" s="54">
        <f t="shared" si="13"/>
        <v>0</v>
      </c>
      <c r="P114" s="54">
        <f t="shared" si="14"/>
        <v>0</v>
      </c>
    </row>
    <row r="115" spans="2:16">
      <c r="B115" s="7" t="str">
        <f t="shared" si="18"/>
        <v/>
      </c>
      <c r="C115" s="50">
        <f>IF(D93="","-",+C114+1)</f>
        <v>2031</v>
      </c>
      <c r="D115" s="12">
        <f>IF(F114+SUM(E$99:E114)=D$92,F114,D$92-SUM(E$99:E114))</f>
        <v>0</v>
      </c>
      <c r="E115" s="56">
        <f t="shared" si="19"/>
        <v>0</v>
      </c>
      <c r="F115" s="55">
        <f t="shared" si="20"/>
        <v>0</v>
      </c>
      <c r="G115" s="55">
        <f t="shared" si="21"/>
        <v>0</v>
      </c>
      <c r="H115" s="113">
        <f t="shared" si="15"/>
        <v>0</v>
      </c>
      <c r="I115" s="122">
        <f t="shared" si="16"/>
        <v>0</v>
      </c>
      <c r="J115" s="54">
        <f t="shared" si="17"/>
        <v>0</v>
      </c>
      <c r="K115" s="54"/>
      <c r="L115" s="115"/>
      <c r="M115" s="54">
        <f t="shared" si="12"/>
        <v>0</v>
      </c>
      <c r="N115" s="115"/>
      <c r="O115" s="54">
        <f t="shared" si="13"/>
        <v>0</v>
      </c>
      <c r="P115" s="54">
        <f t="shared" si="14"/>
        <v>0</v>
      </c>
    </row>
    <row r="116" spans="2:16">
      <c r="B116" s="7" t="str">
        <f t="shared" si="18"/>
        <v/>
      </c>
      <c r="C116" s="50">
        <f>IF(D93="","-",+C115+1)</f>
        <v>2032</v>
      </c>
      <c r="D116" s="12">
        <f>IF(F115+SUM(E$99:E115)=D$92,F115,D$92-SUM(E$99:E115))</f>
        <v>0</v>
      </c>
      <c r="E116" s="56">
        <f t="shared" si="19"/>
        <v>0</v>
      </c>
      <c r="F116" s="55">
        <f t="shared" si="20"/>
        <v>0</v>
      </c>
      <c r="G116" s="55">
        <f t="shared" si="21"/>
        <v>0</v>
      </c>
      <c r="H116" s="113">
        <f t="shared" si="15"/>
        <v>0</v>
      </c>
      <c r="I116" s="122">
        <f t="shared" si="16"/>
        <v>0</v>
      </c>
      <c r="J116" s="54">
        <f t="shared" si="17"/>
        <v>0</v>
      </c>
      <c r="K116" s="54"/>
      <c r="L116" s="115"/>
      <c r="M116" s="54">
        <f t="shared" si="12"/>
        <v>0</v>
      </c>
      <c r="N116" s="115"/>
      <c r="O116" s="54">
        <f t="shared" si="13"/>
        <v>0</v>
      </c>
      <c r="P116" s="54">
        <f t="shared" si="14"/>
        <v>0</v>
      </c>
    </row>
    <row r="117" spans="2:16">
      <c r="B117" s="7" t="str">
        <f t="shared" si="18"/>
        <v/>
      </c>
      <c r="C117" s="50">
        <f>IF(D93="","-",+C116+1)</f>
        <v>2033</v>
      </c>
      <c r="D117" s="12">
        <f>IF(F116+SUM(E$99:E116)=D$92,F116,D$92-SUM(E$99:E116))</f>
        <v>0</v>
      </c>
      <c r="E117" s="56">
        <f t="shared" si="19"/>
        <v>0</v>
      </c>
      <c r="F117" s="55">
        <f t="shared" si="20"/>
        <v>0</v>
      </c>
      <c r="G117" s="55">
        <f t="shared" si="21"/>
        <v>0</v>
      </c>
      <c r="H117" s="113">
        <f t="shared" si="15"/>
        <v>0</v>
      </c>
      <c r="I117" s="122">
        <f t="shared" si="16"/>
        <v>0</v>
      </c>
      <c r="J117" s="54">
        <f t="shared" si="17"/>
        <v>0</v>
      </c>
      <c r="K117" s="54"/>
      <c r="L117" s="115"/>
      <c r="M117" s="54">
        <f t="shared" si="12"/>
        <v>0</v>
      </c>
      <c r="N117" s="115"/>
      <c r="O117" s="54">
        <f t="shared" si="13"/>
        <v>0</v>
      </c>
      <c r="P117" s="54">
        <f t="shared" si="14"/>
        <v>0</v>
      </c>
    </row>
    <row r="118" spans="2:16">
      <c r="B118" s="7" t="str">
        <f t="shared" si="18"/>
        <v/>
      </c>
      <c r="C118" s="50">
        <f>IF(D93="","-",+C117+1)</f>
        <v>2034</v>
      </c>
      <c r="D118" s="12">
        <f>IF(F117+SUM(E$99:E117)=D$92,F117,D$92-SUM(E$99:E117))</f>
        <v>0</v>
      </c>
      <c r="E118" s="56">
        <f t="shared" si="19"/>
        <v>0</v>
      </c>
      <c r="F118" s="55">
        <f t="shared" si="20"/>
        <v>0</v>
      </c>
      <c r="G118" s="55">
        <f t="shared" si="21"/>
        <v>0</v>
      </c>
      <c r="H118" s="113">
        <f t="shared" si="15"/>
        <v>0</v>
      </c>
      <c r="I118" s="122">
        <f t="shared" si="16"/>
        <v>0</v>
      </c>
      <c r="J118" s="54">
        <f t="shared" si="17"/>
        <v>0</v>
      </c>
      <c r="K118" s="54"/>
      <c r="L118" s="115"/>
      <c r="M118" s="54">
        <f t="shared" si="12"/>
        <v>0</v>
      </c>
      <c r="N118" s="115"/>
      <c r="O118" s="54">
        <f t="shared" si="13"/>
        <v>0</v>
      </c>
      <c r="P118" s="54">
        <f t="shared" si="14"/>
        <v>0</v>
      </c>
    </row>
    <row r="119" spans="2:16">
      <c r="B119" s="7" t="str">
        <f t="shared" si="18"/>
        <v/>
      </c>
      <c r="C119" s="50">
        <f>IF(D93="","-",+C118+1)</f>
        <v>2035</v>
      </c>
      <c r="D119" s="12">
        <f>IF(F118+SUM(E$99:E118)=D$92,F118,D$92-SUM(E$99:E118))</f>
        <v>0</v>
      </c>
      <c r="E119" s="56">
        <f t="shared" si="19"/>
        <v>0</v>
      </c>
      <c r="F119" s="55">
        <f t="shared" si="20"/>
        <v>0</v>
      </c>
      <c r="G119" s="55">
        <f t="shared" si="21"/>
        <v>0</v>
      </c>
      <c r="H119" s="113">
        <f t="shared" si="15"/>
        <v>0</v>
      </c>
      <c r="I119" s="122">
        <f t="shared" si="16"/>
        <v>0</v>
      </c>
      <c r="J119" s="54">
        <f t="shared" si="17"/>
        <v>0</v>
      </c>
      <c r="K119" s="54"/>
      <c r="L119" s="115"/>
      <c r="M119" s="54">
        <f t="shared" si="12"/>
        <v>0</v>
      </c>
      <c r="N119" s="115"/>
      <c r="O119" s="54">
        <f t="shared" si="13"/>
        <v>0</v>
      </c>
      <c r="P119" s="54">
        <f t="shared" si="14"/>
        <v>0</v>
      </c>
    </row>
    <row r="120" spans="2:16">
      <c r="B120" s="7" t="str">
        <f t="shared" si="18"/>
        <v/>
      </c>
      <c r="C120" s="50">
        <f>IF(D93="","-",+C119+1)</f>
        <v>2036</v>
      </c>
      <c r="D120" s="12">
        <f>IF(F119+SUM(E$99:E119)=D$92,F119,D$92-SUM(E$99:E119))</f>
        <v>0</v>
      </c>
      <c r="E120" s="56">
        <f t="shared" si="19"/>
        <v>0</v>
      </c>
      <c r="F120" s="55">
        <f t="shared" si="20"/>
        <v>0</v>
      </c>
      <c r="G120" s="55">
        <f t="shared" si="21"/>
        <v>0</v>
      </c>
      <c r="H120" s="113">
        <f t="shared" si="15"/>
        <v>0</v>
      </c>
      <c r="I120" s="122">
        <f t="shared" si="16"/>
        <v>0</v>
      </c>
      <c r="J120" s="54">
        <f t="shared" si="17"/>
        <v>0</v>
      </c>
      <c r="K120" s="54"/>
      <c r="L120" s="115"/>
      <c r="M120" s="54">
        <f t="shared" si="12"/>
        <v>0</v>
      </c>
      <c r="N120" s="115"/>
      <c r="O120" s="54">
        <f t="shared" si="13"/>
        <v>0</v>
      </c>
      <c r="P120" s="54">
        <f t="shared" si="14"/>
        <v>0</v>
      </c>
    </row>
    <row r="121" spans="2:16">
      <c r="B121" s="7" t="str">
        <f t="shared" si="18"/>
        <v/>
      </c>
      <c r="C121" s="50">
        <f>IF(D93="","-",+C120+1)</f>
        <v>2037</v>
      </c>
      <c r="D121" s="12">
        <f>IF(F120+SUM(E$99:E120)=D$92,F120,D$92-SUM(E$99:E120))</f>
        <v>0</v>
      </c>
      <c r="E121" s="56">
        <f t="shared" si="19"/>
        <v>0</v>
      </c>
      <c r="F121" s="55">
        <f t="shared" si="20"/>
        <v>0</v>
      </c>
      <c r="G121" s="55">
        <f t="shared" si="21"/>
        <v>0</v>
      </c>
      <c r="H121" s="113">
        <f t="shared" si="15"/>
        <v>0</v>
      </c>
      <c r="I121" s="122">
        <f t="shared" si="16"/>
        <v>0</v>
      </c>
      <c r="J121" s="54">
        <f t="shared" si="17"/>
        <v>0</v>
      </c>
      <c r="K121" s="54"/>
      <c r="L121" s="115"/>
      <c r="M121" s="54">
        <f t="shared" si="12"/>
        <v>0</v>
      </c>
      <c r="N121" s="115"/>
      <c r="O121" s="54">
        <f t="shared" si="13"/>
        <v>0</v>
      </c>
      <c r="P121" s="54">
        <f t="shared" si="14"/>
        <v>0</v>
      </c>
    </row>
    <row r="122" spans="2:16">
      <c r="B122" s="7" t="str">
        <f t="shared" si="18"/>
        <v/>
      </c>
      <c r="C122" s="50">
        <f>IF(D93="","-",+C121+1)</f>
        <v>2038</v>
      </c>
      <c r="D122" s="12">
        <f>IF(F121+SUM(E$99:E121)=D$92,F121,D$92-SUM(E$99:E121))</f>
        <v>0</v>
      </c>
      <c r="E122" s="56">
        <f t="shared" si="19"/>
        <v>0</v>
      </c>
      <c r="F122" s="55">
        <f t="shared" si="20"/>
        <v>0</v>
      </c>
      <c r="G122" s="55">
        <f t="shared" si="21"/>
        <v>0</v>
      </c>
      <c r="H122" s="113">
        <f t="shared" si="15"/>
        <v>0</v>
      </c>
      <c r="I122" s="122">
        <f t="shared" si="16"/>
        <v>0</v>
      </c>
      <c r="J122" s="54">
        <f t="shared" si="17"/>
        <v>0</v>
      </c>
      <c r="K122" s="54"/>
      <c r="L122" s="115"/>
      <c r="M122" s="54">
        <f t="shared" si="12"/>
        <v>0</v>
      </c>
      <c r="N122" s="115"/>
      <c r="O122" s="54">
        <f t="shared" si="13"/>
        <v>0</v>
      </c>
      <c r="P122" s="54">
        <f t="shared" si="14"/>
        <v>0</v>
      </c>
    </row>
    <row r="123" spans="2:16">
      <c r="B123" s="7" t="str">
        <f t="shared" si="18"/>
        <v/>
      </c>
      <c r="C123" s="50">
        <f>IF(D93="","-",+C122+1)</f>
        <v>2039</v>
      </c>
      <c r="D123" s="12">
        <f>IF(F122+SUM(E$99:E122)=D$92,F122,D$92-SUM(E$99:E122))</f>
        <v>0</v>
      </c>
      <c r="E123" s="56">
        <f t="shared" si="19"/>
        <v>0</v>
      </c>
      <c r="F123" s="55">
        <f t="shared" si="20"/>
        <v>0</v>
      </c>
      <c r="G123" s="55">
        <f t="shared" si="21"/>
        <v>0</v>
      </c>
      <c r="H123" s="113">
        <f t="shared" si="15"/>
        <v>0</v>
      </c>
      <c r="I123" s="122">
        <f t="shared" si="16"/>
        <v>0</v>
      </c>
      <c r="J123" s="54">
        <f t="shared" si="17"/>
        <v>0</v>
      </c>
      <c r="K123" s="54"/>
      <c r="L123" s="115"/>
      <c r="M123" s="54">
        <f t="shared" si="12"/>
        <v>0</v>
      </c>
      <c r="N123" s="115"/>
      <c r="O123" s="54">
        <f t="shared" si="13"/>
        <v>0</v>
      </c>
      <c r="P123" s="54">
        <f t="shared" si="14"/>
        <v>0</v>
      </c>
    </row>
    <row r="124" spans="2:16">
      <c r="B124" s="7" t="str">
        <f t="shared" si="18"/>
        <v/>
      </c>
      <c r="C124" s="50">
        <f>IF(D93="","-",+C123+1)</f>
        <v>2040</v>
      </c>
      <c r="D124" s="12">
        <f>IF(F123+SUM(E$99:E123)=D$92,F123,D$92-SUM(E$99:E123))</f>
        <v>0</v>
      </c>
      <c r="E124" s="56">
        <f t="shared" si="19"/>
        <v>0</v>
      </c>
      <c r="F124" s="55">
        <f t="shared" si="20"/>
        <v>0</v>
      </c>
      <c r="G124" s="55">
        <f t="shared" si="21"/>
        <v>0</v>
      </c>
      <c r="H124" s="113">
        <f t="shared" si="15"/>
        <v>0</v>
      </c>
      <c r="I124" s="122">
        <f t="shared" si="16"/>
        <v>0</v>
      </c>
      <c r="J124" s="54">
        <f t="shared" si="17"/>
        <v>0</v>
      </c>
      <c r="K124" s="54"/>
      <c r="L124" s="115"/>
      <c r="M124" s="54">
        <f t="shared" si="12"/>
        <v>0</v>
      </c>
      <c r="N124" s="115"/>
      <c r="O124" s="54">
        <f t="shared" si="13"/>
        <v>0</v>
      </c>
      <c r="P124" s="54">
        <f t="shared" si="14"/>
        <v>0</v>
      </c>
    </row>
    <row r="125" spans="2:16">
      <c r="B125" s="7" t="str">
        <f t="shared" si="18"/>
        <v/>
      </c>
      <c r="C125" s="50">
        <f>IF(D93="","-",+C124+1)</f>
        <v>2041</v>
      </c>
      <c r="D125" s="12">
        <f>IF(F124+SUM(E$99:E124)=D$92,F124,D$92-SUM(E$99:E124))</f>
        <v>0</v>
      </c>
      <c r="E125" s="56">
        <f t="shared" si="19"/>
        <v>0</v>
      </c>
      <c r="F125" s="55">
        <f t="shared" si="20"/>
        <v>0</v>
      </c>
      <c r="G125" s="55">
        <f t="shared" si="21"/>
        <v>0</v>
      </c>
      <c r="H125" s="113">
        <f t="shared" si="15"/>
        <v>0</v>
      </c>
      <c r="I125" s="122">
        <f t="shared" si="16"/>
        <v>0</v>
      </c>
      <c r="J125" s="54">
        <f t="shared" si="17"/>
        <v>0</v>
      </c>
      <c r="K125" s="54"/>
      <c r="L125" s="115"/>
      <c r="M125" s="54">
        <f t="shared" si="12"/>
        <v>0</v>
      </c>
      <c r="N125" s="115"/>
      <c r="O125" s="54">
        <f t="shared" si="13"/>
        <v>0</v>
      </c>
      <c r="P125" s="54">
        <f t="shared" si="14"/>
        <v>0</v>
      </c>
    </row>
    <row r="126" spans="2:16">
      <c r="B126" s="7" t="str">
        <f t="shared" si="18"/>
        <v/>
      </c>
      <c r="C126" s="50">
        <f>IF(D93="","-",+C125+1)</f>
        <v>2042</v>
      </c>
      <c r="D126" s="12">
        <f>IF(F125+SUM(E$99:E125)=D$92,F125,D$92-SUM(E$99:E125))</f>
        <v>0</v>
      </c>
      <c r="E126" s="56">
        <f t="shared" si="19"/>
        <v>0</v>
      </c>
      <c r="F126" s="55">
        <f t="shared" si="20"/>
        <v>0</v>
      </c>
      <c r="G126" s="55">
        <f t="shared" si="21"/>
        <v>0</v>
      </c>
      <c r="H126" s="113">
        <f t="shared" si="15"/>
        <v>0</v>
      </c>
      <c r="I126" s="122">
        <f t="shared" si="16"/>
        <v>0</v>
      </c>
      <c r="J126" s="54">
        <f t="shared" si="17"/>
        <v>0</v>
      </c>
      <c r="K126" s="54"/>
      <c r="L126" s="115"/>
      <c r="M126" s="54">
        <f t="shared" si="12"/>
        <v>0</v>
      </c>
      <c r="N126" s="115"/>
      <c r="O126" s="54">
        <f t="shared" si="13"/>
        <v>0</v>
      </c>
      <c r="P126" s="54">
        <f t="shared" si="14"/>
        <v>0</v>
      </c>
    </row>
    <row r="127" spans="2:16">
      <c r="B127" s="7" t="str">
        <f t="shared" si="18"/>
        <v/>
      </c>
      <c r="C127" s="50">
        <f>IF(D93="","-",+C126+1)</f>
        <v>2043</v>
      </c>
      <c r="D127" s="12">
        <f>IF(F126+SUM(E$99:E126)=D$92,F126,D$92-SUM(E$99:E126))</f>
        <v>0</v>
      </c>
      <c r="E127" s="56">
        <f t="shared" si="19"/>
        <v>0</v>
      </c>
      <c r="F127" s="55">
        <f t="shared" si="20"/>
        <v>0</v>
      </c>
      <c r="G127" s="55">
        <f t="shared" si="21"/>
        <v>0</v>
      </c>
      <c r="H127" s="113">
        <f t="shared" si="15"/>
        <v>0</v>
      </c>
      <c r="I127" s="122">
        <f t="shared" si="16"/>
        <v>0</v>
      </c>
      <c r="J127" s="54">
        <f t="shared" si="17"/>
        <v>0</v>
      </c>
      <c r="K127" s="54"/>
      <c r="L127" s="115"/>
      <c r="M127" s="54">
        <f t="shared" si="12"/>
        <v>0</v>
      </c>
      <c r="N127" s="115"/>
      <c r="O127" s="54">
        <f t="shared" si="13"/>
        <v>0</v>
      </c>
      <c r="P127" s="54">
        <f t="shared" si="14"/>
        <v>0</v>
      </c>
    </row>
    <row r="128" spans="2:16">
      <c r="B128" s="7" t="str">
        <f t="shared" si="18"/>
        <v/>
      </c>
      <c r="C128" s="50">
        <f>IF(D93="","-",+C127+1)</f>
        <v>2044</v>
      </c>
      <c r="D128" s="12">
        <f>IF(F127+SUM(E$99:E127)=D$92,F127,D$92-SUM(E$99:E127))</f>
        <v>0</v>
      </c>
      <c r="E128" s="56">
        <f t="shared" si="19"/>
        <v>0</v>
      </c>
      <c r="F128" s="55">
        <f t="shared" si="20"/>
        <v>0</v>
      </c>
      <c r="G128" s="55">
        <f t="shared" si="21"/>
        <v>0</v>
      </c>
      <c r="H128" s="113">
        <f t="shared" si="15"/>
        <v>0</v>
      </c>
      <c r="I128" s="122">
        <f t="shared" si="16"/>
        <v>0</v>
      </c>
      <c r="J128" s="54">
        <f t="shared" si="17"/>
        <v>0</v>
      </c>
      <c r="K128" s="54"/>
      <c r="L128" s="115"/>
      <c r="M128" s="54">
        <f t="shared" si="12"/>
        <v>0</v>
      </c>
      <c r="N128" s="115"/>
      <c r="O128" s="54">
        <f t="shared" si="13"/>
        <v>0</v>
      </c>
      <c r="P128" s="54">
        <f t="shared" si="14"/>
        <v>0</v>
      </c>
    </row>
    <row r="129" spans="2:16">
      <c r="B129" s="7" t="str">
        <f t="shared" si="18"/>
        <v/>
      </c>
      <c r="C129" s="50">
        <f>IF(D93="","-",+C128+1)</f>
        <v>2045</v>
      </c>
      <c r="D129" s="12">
        <f>IF(F128+SUM(E$99:E128)=D$92,F128,D$92-SUM(E$99:E128))</f>
        <v>0</v>
      </c>
      <c r="E129" s="56">
        <f t="shared" si="19"/>
        <v>0</v>
      </c>
      <c r="F129" s="55">
        <f t="shared" si="20"/>
        <v>0</v>
      </c>
      <c r="G129" s="55">
        <f t="shared" si="21"/>
        <v>0</v>
      </c>
      <c r="H129" s="113">
        <f t="shared" si="15"/>
        <v>0</v>
      </c>
      <c r="I129" s="122">
        <f t="shared" si="16"/>
        <v>0</v>
      </c>
      <c r="J129" s="54">
        <f t="shared" si="17"/>
        <v>0</v>
      </c>
      <c r="K129" s="54"/>
      <c r="L129" s="115"/>
      <c r="M129" s="54">
        <f t="shared" si="12"/>
        <v>0</v>
      </c>
      <c r="N129" s="115"/>
      <c r="O129" s="54">
        <f t="shared" si="13"/>
        <v>0</v>
      </c>
      <c r="P129" s="54">
        <f t="shared" si="14"/>
        <v>0</v>
      </c>
    </row>
    <row r="130" spans="2:16">
      <c r="B130" s="7" t="str">
        <f t="shared" si="18"/>
        <v/>
      </c>
      <c r="C130" s="50">
        <f>IF(D93="","-",+C129+1)</f>
        <v>2046</v>
      </c>
      <c r="D130" s="12">
        <f>IF(F129+SUM(E$99:E129)=D$92,F129,D$92-SUM(E$99:E129))</f>
        <v>0</v>
      </c>
      <c r="E130" s="56">
        <f t="shared" si="19"/>
        <v>0</v>
      </c>
      <c r="F130" s="55">
        <f t="shared" si="20"/>
        <v>0</v>
      </c>
      <c r="G130" s="55">
        <f t="shared" si="21"/>
        <v>0</v>
      </c>
      <c r="H130" s="113">
        <f t="shared" si="15"/>
        <v>0</v>
      </c>
      <c r="I130" s="122">
        <f t="shared" si="16"/>
        <v>0</v>
      </c>
      <c r="J130" s="54">
        <f t="shared" si="17"/>
        <v>0</v>
      </c>
      <c r="K130" s="54"/>
      <c r="L130" s="115"/>
      <c r="M130" s="54">
        <f t="shared" si="12"/>
        <v>0</v>
      </c>
      <c r="N130" s="115"/>
      <c r="O130" s="54">
        <f t="shared" si="13"/>
        <v>0</v>
      </c>
      <c r="P130" s="54">
        <f t="shared" si="14"/>
        <v>0</v>
      </c>
    </row>
    <row r="131" spans="2:16">
      <c r="B131" s="7" t="str">
        <f t="shared" si="18"/>
        <v/>
      </c>
      <c r="C131" s="50">
        <f>IF(D93="","-",+C130+1)</f>
        <v>2047</v>
      </c>
      <c r="D131" s="12">
        <f>IF(F130+SUM(E$99:E130)=D$92,F130,D$92-SUM(E$99:E130))</f>
        <v>0</v>
      </c>
      <c r="E131" s="56">
        <f t="shared" si="19"/>
        <v>0</v>
      </c>
      <c r="F131" s="55">
        <f t="shared" si="20"/>
        <v>0</v>
      </c>
      <c r="G131" s="55">
        <f t="shared" si="21"/>
        <v>0</v>
      </c>
      <c r="H131" s="113">
        <f t="shared" si="15"/>
        <v>0</v>
      </c>
      <c r="I131" s="122">
        <f t="shared" si="16"/>
        <v>0</v>
      </c>
      <c r="J131" s="54">
        <f t="shared" ref="J131:J154" si="22">+I541-H541</f>
        <v>0</v>
      </c>
      <c r="K131" s="54"/>
      <c r="L131" s="115"/>
      <c r="M131" s="54">
        <f t="shared" ref="M131:M154" si="23">IF(L541&lt;&gt;0,+H541-L541,0)</f>
        <v>0</v>
      </c>
      <c r="N131" s="115"/>
      <c r="O131" s="54">
        <f t="shared" ref="O131:O154" si="24">IF(N541&lt;&gt;0,+I541-N541,0)</f>
        <v>0</v>
      </c>
      <c r="P131" s="54">
        <f t="shared" ref="P131:P154" si="25">+O541-M541</f>
        <v>0</v>
      </c>
    </row>
    <row r="132" spans="2:16">
      <c r="B132" s="7" t="str">
        <f t="shared" si="18"/>
        <v/>
      </c>
      <c r="C132" s="50">
        <f>IF(D93="","-",+C131+1)</f>
        <v>2048</v>
      </c>
      <c r="D132" s="12">
        <f>IF(F131+SUM(E$99:E131)=D$92,F131,D$92-SUM(E$99:E131))</f>
        <v>0</v>
      </c>
      <c r="E132" s="56">
        <f t="shared" si="19"/>
        <v>0</v>
      </c>
      <c r="F132" s="55">
        <f t="shared" si="20"/>
        <v>0</v>
      </c>
      <c r="G132" s="55">
        <f t="shared" si="21"/>
        <v>0</v>
      </c>
      <c r="H132" s="113">
        <f t="shared" si="15"/>
        <v>0</v>
      </c>
      <c r="I132" s="122">
        <f t="shared" si="16"/>
        <v>0</v>
      </c>
      <c r="J132" s="54">
        <f t="shared" si="22"/>
        <v>0</v>
      </c>
      <c r="K132" s="54"/>
      <c r="L132" s="115"/>
      <c r="M132" s="54">
        <f t="shared" si="23"/>
        <v>0</v>
      </c>
      <c r="N132" s="115"/>
      <c r="O132" s="54">
        <f t="shared" si="24"/>
        <v>0</v>
      </c>
      <c r="P132" s="54">
        <f t="shared" si="25"/>
        <v>0</v>
      </c>
    </row>
    <row r="133" spans="2:16">
      <c r="B133" s="7" t="str">
        <f t="shared" si="18"/>
        <v/>
      </c>
      <c r="C133" s="50">
        <f>IF(D93="","-",+C132+1)</f>
        <v>2049</v>
      </c>
      <c r="D133" s="12">
        <f>IF(F132+SUM(E$99:E132)=D$92,F132,D$92-SUM(E$99:E132))</f>
        <v>0</v>
      </c>
      <c r="E133" s="56">
        <f t="shared" si="19"/>
        <v>0</v>
      </c>
      <c r="F133" s="55">
        <f t="shared" si="20"/>
        <v>0</v>
      </c>
      <c r="G133" s="55">
        <f t="shared" si="21"/>
        <v>0</v>
      </c>
      <c r="H133" s="113">
        <f t="shared" si="15"/>
        <v>0</v>
      </c>
      <c r="I133" s="122">
        <f t="shared" si="16"/>
        <v>0</v>
      </c>
      <c r="J133" s="54">
        <f t="shared" si="22"/>
        <v>0</v>
      </c>
      <c r="K133" s="54"/>
      <c r="L133" s="115"/>
      <c r="M133" s="54">
        <f t="shared" si="23"/>
        <v>0</v>
      </c>
      <c r="N133" s="115"/>
      <c r="O133" s="54">
        <f t="shared" si="24"/>
        <v>0</v>
      </c>
      <c r="P133" s="54">
        <f t="shared" si="25"/>
        <v>0</v>
      </c>
    </row>
    <row r="134" spans="2:16">
      <c r="B134" s="7" t="str">
        <f t="shared" si="18"/>
        <v/>
      </c>
      <c r="C134" s="50">
        <f>IF(D93="","-",+C133+1)</f>
        <v>2050</v>
      </c>
      <c r="D134" s="12">
        <f>IF(F133+SUM(E$99:E133)=D$92,F133,D$92-SUM(E$99:E133))</f>
        <v>0</v>
      </c>
      <c r="E134" s="56">
        <f t="shared" si="19"/>
        <v>0</v>
      </c>
      <c r="F134" s="55">
        <f t="shared" si="20"/>
        <v>0</v>
      </c>
      <c r="G134" s="55">
        <f t="shared" si="21"/>
        <v>0</v>
      </c>
      <c r="H134" s="113">
        <f t="shared" si="15"/>
        <v>0</v>
      </c>
      <c r="I134" s="122">
        <f t="shared" si="16"/>
        <v>0</v>
      </c>
      <c r="J134" s="54">
        <f t="shared" si="22"/>
        <v>0</v>
      </c>
      <c r="K134" s="54"/>
      <c r="L134" s="115"/>
      <c r="M134" s="54">
        <f t="shared" si="23"/>
        <v>0</v>
      </c>
      <c r="N134" s="115"/>
      <c r="O134" s="54">
        <f t="shared" si="24"/>
        <v>0</v>
      </c>
      <c r="P134" s="54">
        <f t="shared" si="25"/>
        <v>0</v>
      </c>
    </row>
    <row r="135" spans="2:16">
      <c r="B135" s="7" t="str">
        <f t="shared" si="18"/>
        <v/>
      </c>
      <c r="C135" s="50">
        <f>IF(D93="","-",+C134+1)</f>
        <v>2051</v>
      </c>
      <c r="D135" s="12">
        <f>IF(F134+SUM(E$99:E134)=D$92,F134,D$92-SUM(E$99:E134))</f>
        <v>0</v>
      </c>
      <c r="E135" s="56">
        <f t="shared" si="19"/>
        <v>0</v>
      </c>
      <c r="F135" s="55">
        <f t="shared" si="20"/>
        <v>0</v>
      </c>
      <c r="G135" s="55">
        <f t="shared" si="21"/>
        <v>0</v>
      </c>
      <c r="H135" s="113">
        <f t="shared" si="15"/>
        <v>0</v>
      </c>
      <c r="I135" s="122">
        <f t="shared" si="16"/>
        <v>0</v>
      </c>
      <c r="J135" s="54">
        <f t="shared" si="22"/>
        <v>0</v>
      </c>
      <c r="K135" s="54"/>
      <c r="L135" s="115"/>
      <c r="M135" s="54">
        <f t="shared" si="23"/>
        <v>0</v>
      </c>
      <c r="N135" s="115"/>
      <c r="O135" s="54">
        <f t="shared" si="24"/>
        <v>0</v>
      </c>
      <c r="P135" s="54">
        <f t="shared" si="25"/>
        <v>0</v>
      </c>
    </row>
    <row r="136" spans="2:16">
      <c r="B136" s="7" t="str">
        <f t="shared" si="18"/>
        <v/>
      </c>
      <c r="C136" s="50">
        <f>IF(D93="","-",+C135+1)</f>
        <v>2052</v>
      </c>
      <c r="D136" s="12">
        <f>IF(F135+SUM(E$99:E135)=D$92,F135,D$92-SUM(E$99:E135))</f>
        <v>0</v>
      </c>
      <c r="E136" s="56">
        <f t="shared" si="19"/>
        <v>0</v>
      </c>
      <c r="F136" s="55">
        <f t="shared" si="20"/>
        <v>0</v>
      </c>
      <c r="G136" s="55">
        <f t="shared" si="21"/>
        <v>0</v>
      </c>
      <c r="H136" s="113">
        <f t="shared" si="15"/>
        <v>0</v>
      </c>
      <c r="I136" s="122">
        <f t="shared" si="16"/>
        <v>0</v>
      </c>
      <c r="J136" s="54">
        <f t="shared" si="22"/>
        <v>0</v>
      </c>
      <c r="K136" s="54"/>
      <c r="L136" s="115"/>
      <c r="M136" s="54">
        <f t="shared" si="23"/>
        <v>0</v>
      </c>
      <c r="N136" s="115"/>
      <c r="O136" s="54">
        <f t="shared" si="24"/>
        <v>0</v>
      </c>
      <c r="P136" s="54">
        <f t="shared" si="25"/>
        <v>0</v>
      </c>
    </row>
    <row r="137" spans="2:16">
      <c r="B137" s="7" t="str">
        <f t="shared" si="18"/>
        <v/>
      </c>
      <c r="C137" s="50">
        <f>IF(D93="","-",+C136+1)</f>
        <v>2053</v>
      </c>
      <c r="D137" s="12">
        <f>IF(F136+SUM(E$99:E136)=D$92,F136,D$92-SUM(E$99:E136))</f>
        <v>0</v>
      </c>
      <c r="E137" s="56">
        <f t="shared" si="19"/>
        <v>0</v>
      </c>
      <c r="F137" s="55">
        <f t="shared" si="20"/>
        <v>0</v>
      </c>
      <c r="G137" s="55">
        <f t="shared" si="21"/>
        <v>0</v>
      </c>
      <c r="H137" s="113">
        <f t="shared" si="15"/>
        <v>0</v>
      </c>
      <c r="I137" s="122">
        <f t="shared" si="16"/>
        <v>0</v>
      </c>
      <c r="J137" s="54">
        <f t="shared" si="22"/>
        <v>0</v>
      </c>
      <c r="K137" s="54"/>
      <c r="L137" s="115"/>
      <c r="M137" s="54">
        <f t="shared" si="23"/>
        <v>0</v>
      </c>
      <c r="N137" s="115"/>
      <c r="O137" s="54">
        <f t="shared" si="24"/>
        <v>0</v>
      </c>
      <c r="P137" s="54">
        <f t="shared" si="25"/>
        <v>0</v>
      </c>
    </row>
    <row r="138" spans="2:16">
      <c r="B138" s="7" t="str">
        <f t="shared" si="18"/>
        <v/>
      </c>
      <c r="C138" s="50">
        <f>IF(D93="","-",+C137+1)</f>
        <v>2054</v>
      </c>
      <c r="D138" s="12">
        <f>IF(F137+SUM(E$99:E137)=D$92,F137,D$92-SUM(E$99:E137))</f>
        <v>0</v>
      </c>
      <c r="E138" s="56">
        <f t="shared" si="19"/>
        <v>0</v>
      </c>
      <c r="F138" s="55">
        <f t="shared" si="20"/>
        <v>0</v>
      </c>
      <c r="G138" s="55">
        <f t="shared" si="21"/>
        <v>0</v>
      </c>
      <c r="H138" s="113">
        <f t="shared" si="15"/>
        <v>0</v>
      </c>
      <c r="I138" s="122">
        <f t="shared" si="16"/>
        <v>0</v>
      </c>
      <c r="J138" s="54">
        <f t="shared" si="22"/>
        <v>0</v>
      </c>
      <c r="K138" s="54"/>
      <c r="L138" s="115"/>
      <c r="M138" s="54">
        <f t="shared" si="23"/>
        <v>0</v>
      </c>
      <c r="N138" s="115"/>
      <c r="O138" s="54">
        <f t="shared" si="24"/>
        <v>0</v>
      </c>
      <c r="P138" s="54">
        <f t="shared" si="25"/>
        <v>0</v>
      </c>
    </row>
    <row r="139" spans="2:16">
      <c r="B139" s="7" t="str">
        <f t="shared" si="18"/>
        <v/>
      </c>
      <c r="C139" s="50">
        <f>IF(D93="","-",+C138+1)</f>
        <v>2055</v>
      </c>
      <c r="D139" s="12">
        <f>IF(F138+SUM(E$99:E138)=D$92,F138,D$92-SUM(E$99:E138))</f>
        <v>0</v>
      </c>
      <c r="E139" s="56">
        <f t="shared" si="19"/>
        <v>0</v>
      </c>
      <c r="F139" s="55">
        <f t="shared" si="20"/>
        <v>0</v>
      </c>
      <c r="G139" s="55">
        <f t="shared" si="21"/>
        <v>0</v>
      </c>
      <c r="H139" s="113">
        <f t="shared" si="15"/>
        <v>0</v>
      </c>
      <c r="I139" s="122">
        <f t="shared" si="16"/>
        <v>0</v>
      </c>
      <c r="J139" s="54">
        <f t="shared" si="22"/>
        <v>0</v>
      </c>
      <c r="K139" s="54"/>
      <c r="L139" s="115"/>
      <c r="M139" s="54">
        <f t="shared" si="23"/>
        <v>0</v>
      </c>
      <c r="N139" s="115"/>
      <c r="O139" s="54">
        <f t="shared" si="24"/>
        <v>0</v>
      </c>
      <c r="P139" s="54">
        <f t="shared" si="25"/>
        <v>0</v>
      </c>
    </row>
    <row r="140" spans="2:16">
      <c r="B140" s="7" t="str">
        <f t="shared" si="18"/>
        <v/>
      </c>
      <c r="C140" s="50">
        <f>IF(D93="","-",+C139+1)</f>
        <v>2056</v>
      </c>
      <c r="D140" s="12">
        <f>IF(F139+SUM(E$99:E139)=D$92,F139,D$92-SUM(E$99:E139))</f>
        <v>0</v>
      </c>
      <c r="E140" s="56">
        <f t="shared" si="19"/>
        <v>0</v>
      </c>
      <c r="F140" s="55">
        <f t="shared" si="20"/>
        <v>0</v>
      </c>
      <c r="G140" s="55">
        <f t="shared" si="21"/>
        <v>0</v>
      </c>
      <c r="H140" s="113">
        <f t="shared" si="15"/>
        <v>0</v>
      </c>
      <c r="I140" s="122">
        <f t="shared" si="16"/>
        <v>0</v>
      </c>
      <c r="J140" s="54">
        <f t="shared" si="22"/>
        <v>0</v>
      </c>
      <c r="K140" s="54"/>
      <c r="L140" s="115"/>
      <c r="M140" s="54">
        <f t="shared" si="23"/>
        <v>0</v>
      </c>
      <c r="N140" s="115"/>
      <c r="O140" s="54">
        <f t="shared" si="24"/>
        <v>0</v>
      </c>
      <c r="P140" s="54">
        <f t="shared" si="25"/>
        <v>0</v>
      </c>
    </row>
    <row r="141" spans="2:16">
      <c r="B141" s="7" t="str">
        <f t="shared" si="18"/>
        <v/>
      </c>
      <c r="C141" s="50">
        <f>IF(D93="","-",+C140+1)</f>
        <v>2057</v>
      </c>
      <c r="D141" s="12">
        <f>IF(F140+SUM(E$99:E140)=D$92,F140,D$92-SUM(E$99:E140))</f>
        <v>0</v>
      </c>
      <c r="E141" s="56">
        <f t="shared" si="19"/>
        <v>0</v>
      </c>
      <c r="F141" s="55">
        <f t="shared" si="20"/>
        <v>0</v>
      </c>
      <c r="G141" s="55">
        <f t="shared" si="21"/>
        <v>0</v>
      </c>
      <c r="H141" s="113">
        <f t="shared" si="15"/>
        <v>0</v>
      </c>
      <c r="I141" s="122">
        <f t="shared" si="16"/>
        <v>0</v>
      </c>
      <c r="J141" s="54">
        <f t="shared" si="22"/>
        <v>0</v>
      </c>
      <c r="K141" s="54"/>
      <c r="L141" s="115"/>
      <c r="M141" s="54">
        <f t="shared" si="23"/>
        <v>0</v>
      </c>
      <c r="N141" s="115"/>
      <c r="O141" s="54">
        <f t="shared" si="24"/>
        <v>0</v>
      </c>
      <c r="P141" s="54">
        <f t="shared" si="25"/>
        <v>0</v>
      </c>
    </row>
    <row r="142" spans="2:16">
      <c r="B142" s="7" t="str">
        <f t="shared" si="18"/>
        <v/>
      </c>
      <c r="C142" s="50">
        <f>IF(D93="","-",+C141+1)</f>
        <v>2058</v>
      </c>
      <c r="D142" s="12">
        <f>IF(F141+SUM(E$99:E141)=D$92,F141,D$92-SUM(E$99:E141))</f>
        <v>0</v>
      </c>
      <c r="E142" s="56">
        <f t="shared" si="19"/>
        <v>0</v>
      </c>
      <c r="F142" s="55">
        <f t="shared" si="20"/>
        <v>0</v>
      </c>
      <c r="G142" s="55">
        <f t="shared" si="21"/>
        <v>0</v>
      </c>
      <c r="H142" s="113">
        <f t="shared" si="15"/>
        <v>0</v>
      </c>
      <c r="I142" s="122">
        <f t="shared" si="16"/>
        <v>0</v>
      </c>
      <c r="J142" s="54">
        <f t="shared" si="22"/>
        <v>0</v>
      </c>
      <c r="K142" s="54"/>
      <c r="L142" s="115"/>
      <c r="M142" s="54">
        <f t="shared" si="23"/>
        <v>0</v>
      </c>
      <c r="N142" s="115"/>
      <c r="O142" s="54">
        <f t="shared" si="24"/>
        <v>0</v>
      </c>
      <c r="P142" s="54">
        <f t="shared" si="25"/>
        <v>0</v>
      </c>
    </row>
    <row r="143" spans="2:16">
      <c r="B143" s="7" t="str">
        <f t="shared" si="18"/>
        <v/>
      </c>
      <c r="C143" s="50">
        <f>IF(D93="","-",+C142+1)</f>
        <v>2059</v>
      </c>
      <c r="D143" s="12">
        <f>IF(F142+SUM(E$99:E142)=D$92,F142,D$92-SUM(E$99:E142))</f>
        <v>0</v>
      </c>
      <c r="E143" s="56">
        <f t="shared" si="19"/>
        <v>0</v>
      </c>
      <c r="F143" s="55">
        <f t="shared" si="20"/>
        <v>0</v>
      </c>
      <c r="G143" s="55">
        <f t="shared" si="21"/>
        <v>0</v>
      </c>
      <c r="H143" s="113">
        <f t="shared" si="15"/>
        <v>0</v>
      </c>
      <c r="I143" s="122">
        <f t="shared" si="16"/>
        <v>0</v>
      </c>
      <c r="J143" s="54">
        <f t="shared" si="22"/>
        <v>0</v>
      </c>
      <c r="K143" s="54"/>
      <c r="L143" s="115"/>
      <c r="M143" s="54">
        <f t="shared" si="23"/>
        <v>0</v>
      </c>
      <c r="N143" s="115"/>
      <c r="O143" s="54">
        <f t="shared" si="24"/>
        <v>0</v>
      </c>
      <c r="P143" s="54">
        <f t="shared" si="25"/>
        <v>0</v>
      </c>
    </row>
    <row r="144" spans="2:16">
      <c r="B144" s="7" t="str">
        <f t="shared" si="18"/>
        <v/>
      </c>
      <c r="C144" s="50">
        <f>IF(D93="","-",+C143+1)</f>
        <v>2060</v>
      </c>
      <c r="D144" s="12">
        <f>IF(F143+SUM(E$99:E143)=D$92,F143,D$92-SUM(E$99:E143))</f>
        <v>0</v>
      </c>
      <c r="E144" s="56">
        <f t="shared" si="19"/>
        <v>0</v>
      </c>
      <c r="F144" s="55">
        <f t="shared" si="20"/>
        <v>0</v>
      </c>
      <c r="G144" s="55">
        <f t="shared" si="21"/>
        <v>0</v>
      </c>
      <c r="H144" s="113">
        <f t="shared" si="15"/>
        <v>0</v>
      </c>
      <c r="I144" s="122">
        <f t="shared" si="16"/>
        <v>0</v>
      </c>
      <c r="J144" s="54">
        <f t="shared" si="22"/>
        <v>0</v>
      </c>
      <c r="K144" s="54"/>
      <c r="L144" s="115"/>
      <c r="M144" s="54">
        <f t="shared" si="23"/>
        <v>0</v>
      </c>
      <c r="N144" s="115"/>
      <c r="O144" s="54">
        <f t="shared" si="24"/>
        <v>0</v>
      </c>
      <c r="P144" s="54">
        <f t="shared" si="25"/>
        <v>0</v>
      </c>
    </row>
    <row r="145" spans="2:16">
      <c r="B145" s="7" t="str">
        <f t="shared" si="18"/>
        <v/>
      </c>
      <c r="C145" s="50">
        <f>IF(D93="","-",+C144+1)</f>
        <v>2061</v>
      </c>
      <c r="D145" s="12">
        <f>IF(F144+SUM(E$99:E144)=D$92,F144,D$92-SUM(E$99:E144))</f>
        <v>0</v>
      </c>
      <c r="E145" s="56">
        <f t="shared" si="19"/>
        <v>0</v>
      </c>
      <c r="F145" s="55">
        <f t="shared" si="20"/>
        <v>0</v>
      </c>
      <c r="G145" s="55">
        <f t="shared" si="21"/>
        <v>0</v>
      </c>
      <c r="H145" s="113">
        <f t="shared" si="15"/>
        <v>0</v>
      </c>
      <c r="I145" s="122">
        <f t="shared" si="16"/>
        <v>0</v>
      </c>
      <c r="J145" s="54">
        <f t="shared" si="22"/>
        <v>0</v>
      </c>
      <c r="K145" s="54"/>
      <c r="L145" s="115"/>
      <c r="M145" s="54">
        <f t="shared" si="23"/>
        <v>0</v>
      </c>
      <c r="N145" s="115"/>
      <c r="O145" s="54">
        <f t="shared" si="24"/>
        <v>0</v>
      </c>
      <c r="P145" s="54">
        <f t="shared" si="25"/>
        <v>0</v>
      </c>
    </row>
    <row r="146" spans="2:16">
      <c r="B146" s="7" t="str">
        <f t="shared" si="18"/>
        <v/>
      </c>
      <c r="C146" s="50">
        <f>IF(D93="","-",+C145+1)</f>
        <v>2062</v>
      </c>
      <c r="D146" s="12">
        <f>IF(F145+SUM(E$99:E145)=D$92,F145,D$92-SUM(E$99:E145))</f>
        <v>0</v>
      </c>
      <c r="E146" s="56">
        <f t="shared" si="19"/>
        <v>0</v>
      </c>
      <c r="F146" s="55">
        <f t="shared" si="20"/>
        <v>0</v>
      </c>
      <c r="G146" s="55">
        <f t="shared" si="21"/>
        <v>0</v>
      </c>
      <c r="H146" s="113">
        <f t="shared" si="15"/>
        <v>0</v>
      </c>
      <c r="I146" s="122">
        <f t="shared" si="16"/>
        <v>0</v>
      </c>
      <c r="J146" s="54">
        <f t="shared" si="22"/>
        <v>0</v>
      </c>
      <c r="K146" s="54"/>
      <c r="L146" s="115"/>
      <c r="M146" s="54">
        <f t="shared" si="23"/>
        <v>0</v>
      </c>
      <c r="N146" s="115"/>
      <c r="O146" s="54">
        <f t="shared" si="24"/>
        <v>0</v>
      </c>
      <c r="P146" s="54">
        <f t="shared" si="25"/>
        <v>0</v>
      </c>
    </row>
    <row r="147" spans="2:16">
      <c r="B147" s="7" t="str">
        <f t="shared" si="18"/>
        <v/>
      </c>
      <c r="C147" s="50">
        <f>IF(D93="","-",+C146+1)</f>
        <v>2063</v>
      </c>
      <c r="D147" s="12">
        <f>IF(F146+SUM(E$99:E146)=D$92,F146,D$92-SUM(E$99:E146))</f>
        <v>0</v>
      </c>
      <c r="E147" s="56">
        <f t="shared" si="19"/>
        <v>0</v>
      </c>
      <c r="F147" s="55">
        <f t="shared" si="20"/>
        <v>0</v>
      </c>
      <c r="G147" s="55">
        <f t="shared" si="21"/>
        <v>0</v>
      </c>
      <c r="H147" s="113">
        <f t="shared" si="15"/>
        <v>0</v>
      </c>
      <c r="I147" s="122">
        <f t="shared" si="16"/>
        <v>0</v>
      </c>
      <c r="J147" s="54">
        <f t="shared" si="22"/>
        <v>0</v>
      </c>
      <c r="K147" s="54"/>
      <c r="L147" s="115"/>
      <c r="M147" s="54">
        <f t="shared" si="23"/>
        <v>0</v>
      </c>
      <c r="N147" s="115"/>
      <c r="O147" s="54">
        <f t="shared" si="24"/>
        <v>0</v>
      </c>
      <c r="P147" s="54">
        <f t="shared" si="25"/>
        <v>0</v>
      </c>
    </row>
    <row r="148" spans="2:16">
      <c r="B148" s="7" t="str">
        <f t="shared" si="18"/>
        <v/>
      </c>
      <c r="C148" s="50">
        <f>IF(D93="","-",+C147+1)</f>
        <v>2064</v>
      </c>
      <c r="D148" s="12">
        <f>IF(F147+SUM(E$99:E147)=D$92,F147,D$92-SUM(E$99:E147))</f>
        <v>0</v>
      </c>
      <c r="E148" s="56">
        <f t="shared" si="19"/>
        <v>0</v>
      </c>
      <c r="F148" s="55">
        <f t="shared" si="20"/>
        <v>0</v>
      </c>
      <c r="G148" s="55">
        <f t="shared" si="21"/>
        <v>0</v>
      </c>
      <c r="H148" s="113">
        <f t="shared" si="15"/>
        <v>0</v>
      </c>
      <c r="I148" s="122">
        <f t="shared" si="16"/>
        <v>0</v>
      </c>
      <c r="J148" s="54">
        <f t="shared" si="22"/>
        <v>0</v>
      </c>
      <c r="K148" s="54"/>
      <c r="L148" s="115"/>
      <c r="M148" s="54">
        <f t="shared" si="23"/>
        <v>0</v>
      </c>
      <c r="N148" s="115"/>
      <c r="O148" s="54">
        <f t="shared" si="24"/>
        <v>0</v>
      </c>
      <c r="P148" s="54">
        <f t="shared" si="25"/>
        <v>0</v>
      </c>
    </row>
    <row r="149" spans="2:16">
      <c r="B149" s="7" t="str">
        <f t="shared" si="18"/>
        <v/>
      </c>
      <c r="C149" s="50">
        <f>IF(D93="","-",+C148+1)</f>
        <v>2065</v>
      </c>
      <c r="D149" s="12">
        <f>IF(F148+SUM(E$99:E148)=D$92,F148,D$92-SUM(E$99:E148))</f>
        <v>0</v>
      </c>
      <c r="E149" s="56">
        <f t="shared" si="19"/>
        <v>0</v>
      </c>
      <c r="F149" s="55">
        <f t="shared" si="20"/>
        <v>0</v>
      </c>
      <c r="G149" s="55">
        <f t="shared" si="21"/>
        <v>0</v>
      </c>
      <c r="H149" s="113">
        <f t="shared" si="15"/>
        <v>0</v>
      </c>
      <c r="I149" s="122">
        <f t="shared" si="16"/>
        <v>0</v>
      </c>
      <c r="J149" s="54">
        <f t="shared" si="22"/>
        <v>0</v>
      </c>
      <c r="K149" s="54"/>
      <c r="L149" s="115"/>
      <c r="M149" s="54">
        <f t="shared" si="23"/>
        <v>0</v>
      </c>
      <c r="N149" s="115"/>
      <c r="O149" s="54">
        <f t="shared" si="24"/>
        <v>0</v>
      </c>
      <c r="P149" s="54">
        <f t="shared" si="25"/>
        <v>0</v>
      </c>
    </row>
    <row r="150" spans="2:16">
      <c r="B150" s="7" t="str">
        <f t="shared" si="18"/>
        <v/>
      </c>
      <c r="C150" s="50">
        <f>IF(D93="","-",+C149+1)</f>
        <v>2066</v>
      </c>
      <c r="D150" s="12">
        <f>IF(F149+SUM(E$99:E149)=D$92,F149,D$92-SUM(E$99:E149))</f>
        <v>0</v>
      </c>
      <c r="E150" s="56">
        <f t="shared" si="19"/>
        <v>0</v>
      </c>
      <c r="F150" s="55">
        <f t="shared" si="20"/>
        <v>0</v>
      </c>
      <c r="G150" s="55">
        <f t="shared" si="21"/>
        <v>0</v>
      </c>
      <c r="H150" s="113">
        <f t="shared" si="15"/>
        <v>0</v>
      </c>
      <c r="I150" s="122">
        <f t="shared" si="16"/>
        <v>0</v>
      </c>
      <c r="J150" s="54">
        <f t="shared" si="22"/>
        <v>0</v>
      </c>
      <c r="K150" s="54"/>
      <c r="L150" s="115"/>
      <c r="M150" s="54">
        <f t="shared" si="23"/>
        <v>0</v>
      </c>
      <c r="N150" s="115"/>
      <c r="O150" s="54">
        <f t="shared" si="24"/>
        <v>0</v>
      </c>
      <c r="P150" s="54">
        <f t="shared" si="25"/>
        <v>0</v>
      </c>
    </row>
    <row r="151" spans="2:16">
      <c r="B151" s="7" t="str">
        <f t="shared" si="18"/>
        <v/>
      </c>
      <c r="C151" s="50">
        <f>IF(D93="","-",+C150+1)</f>
        <v>2067</v>
      </c>
      <c r="D151" s="12">
        <f>IF(F150+SUM(E$99:E150)=D$92,F150,D$92-SUM(E$99:E150))</f>
        <v>0</v>
      </c>
      <c r="E151" s="56">
        <f t="shared" si="19"/>
        <v>0</v>
      </c>
      <c r="F151" s="55">
        <f t="shared" si="20"/>
        <v>0</v>
      </c>
      <c r="G151" s="55">
        <f t="shared" si="21"/>
        <v>0</v>
      </c>
      <c r="H151" s="113">
        <f t="shared" si="15"/>
        <v>0</v>
      </c>
      <c r="I151" s="122">
        <f t="shared" si="16"/>
        <v>0</v>
      </c>
      <c r="J151" s="54">
        <f t="shared" si="22"/>
        <v>0</v>
      </c>
      <c r="K151" s="54"/>
      <c r="L151" s="115"/>
      <c r="M151" s="54">
        <f t="shared" si="23"/>
        <v>0</v>
      </c>
      <c r="N151" s="115"/>
      <c r="O151" s="54">
        <f t="shared" si="24"/>
        <v>0</v>
      </c>
      <c r="P151" s="54">
        <f t="shared" si="25"/>
        <v>0</v>
      </c>
    </row>
    <row r="152" spans="2:16">
      <c r="B152" s="7" t="str">
        <f t="shared" si="18"/>
        <v/>
      </c>
      <c r="C152" s="50">
        <f>IF(D93="","-",+C151+1)</f>
        <v>2068</v>
      </c>
      <c r="D152" s="12">
        <f>IF(F151+SUM(E$99:E151)=D$92,F151,D$92-SUM(E$99:E151))</f>
        <v>0</v>
      </c>
      <c r="E152" s="56">
        <f t="shared" si="19"/>
        <v>0</v>
      </c>
      <c r="F152" s="55">
        <f t="shared" si="20"/>
        <v>0</v>
      </c>
      <c r="G152" s="55">
        <f t="shared" si="21"/>
        <v>0</v>
      </c>
      <c r="H152" s="113">
        <f t="shared" si="15"/>
        <v>0</v>
      </c>
      <c r="I152" s="122">
        <f t="shared" si="16"/>
        <v>0</v>
      </c>
      <c r="J152" s="54">
        <f t="shared" si="22"/>
        <v>0</v>
      </c>
      <c r="K152" s="54"/>
      <c r="L152" s="115"/>
      <c r="M152" s="54">
        <f t="shared" si="23"/>
        <v>0</v>
      </c>
      <c r="N152" s="115"/>
      <c r="O152" s="54">
        <f t="shared" si="24"/>
        <v>0</v>
      </c>
      <c r="P152" s="54">
        <f t="shared" si="25"/>
        <v>0</v>
      </c>
    </row>
    <row r="153" spans="2:16">
      <c r="B153" s="7" t="str">
        <f t="shared" si="18"/>
        <v/>
      </c>
      <c r="C153" s="50">
        <f>IF(D93="","-",+C152+1)</f>
        <v>2069</v>
      </c>
      <c r="D153" s="12">
        <f>IF(F152+SUM(E$99:E152)=D$92,F152,D$92-SUM(E$99:E152))</f>
        <v>0</v>
      </c>
      <c r="E153" s="56">
        <f t="shared" si="19"/>
        <v>0</v>
      </c>
      <c r="F153" s="55">
        <f t="shared" si="20"/>
        <v>0</v>
      </c>
      <c r="G153" s="55">
        <f t="shared" si="21"/>
        <v>0</v>
      </c>
      <c r="H153" s="113">
        <f t="shared" si="15"/>
        <v>0</v>
      </c>
      <c r="I153" s="122">
        <f t="shared" si="16"/>
        <v>0</v>
      </c>
      <c r="J153" s="54">
        <f t="shared" si="22"/>
        <v>0</v>
      </c>
      <c r="K153" s="54"/>
      <c r="L153" s="115"/>
      <c r="M153" s="54">
        <f t="shared" si="23"/>
        <v>0</v>
      </c>
      <c r="N153" s="115"/>
      <c r="O153" s="54">
        <f t="shared" si="24"/>
        <v>0</v>
      </c>
      <c r="P153" s="54">
        <f t="shared" si="25"/>
        <v>0</v>
      </c>
    </row>
    <row r="154" spans="2:16" ht="13.5" thickBot="1">
      <c r="B154" s="7" t="str">
        <f t="shared" si="18"/>
        <v/>
      </c>
      <c r="C154" s="58">
        <f>IF(D93="","-",+C153+1)</f>
        <v>2070</v>
      </c>
      <c r="D154" s="82">
        <f>IF(F153+SUM(E$99:E153)=D$92,F153,D$92-SUM(E$99:E153))</f>
        <v>0</v>
      </c>
      <c r="E154" s="60">
        <f t="shared" si="19"/>
        <v>0</v>
      </c>
      <c r="F154" s="59">
        <f t="shared" si="20"/>
        <v>0</v>
      </c>
      <c r="G154" s="59">
        <f t="shared" si="21"/>
        <v>0</v>
      </c>
      <c r="H154" s="123">
        <f t="shared" si="15"/>
        <v>0</v>
      </c>
      <c r="I154" s="124">
        <f t="shared" si="16"/>
        <v>0</v>
      </c>
      <c r="J154" s="62">
        <f t="shared" si="22"/>
        <v>0</v>
      </c>
      <c r="K154" s="54"/>
      <c r="L154" s="116"/>
      <c r="M154" s="62">
        <f t="shared" si="23"/>
        <v>0</v>
      </c>
      <c r="N154" s="116"/>
      <c r="O154" s="62">
        <f t="shared" si="24"/>
        <v>0</v>
      </c>
      <c r="P154" s="62">
        <f t="shared" si="25"/>
        <v>0</v>
      </c>
    </row>
    <row r="155" spans="2:16">
      <c r="C155" s="12" t="s">
        <v>77</v>
      </c>
      <c r="D155" s="14"/>
      <c r="E155" s="14">
        <f>SUM(E99:E154)</f>
        <v>0</v>
      </c>
      <c r="F155" s="14"/>
      <c r="G155" s="14"/>
      <c r="H155" s="14">
        <f>SUM(H99:H154)</f>
        <v>0</v>
      </c>
      <c r="I155" s="14">
        <f>SUM(I99:I154)</f>
        <v>0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>
      <c r="C158" s="98" t="s">
        <v>149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P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2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460262.73781694262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460262.73781694262</v>
      </c>
      <c r="O6" s="1"/>
      <c r="P6" s="1"/>
    </row>
    <row r="7" spans="1:16" ht="13.5" thickBot="1">
      <c r="C7" s="26" t="s">
        <v>46</v>
      </c>
      <c r="D7" s="331" t="s">
        <v>210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80</v>
      </c>
      <c r="E9" s="32" t="s">
        <v>373</v>
      </c>
      <c r="F9" s="514">
        <v>230</v>
      </c>
      <c r="G9" s="32"/>
      <c r="H9" s="32"/>
      <c r="I9" s="33"/>
      <c r="J9" s="34"/>
      <c r="P9" s="1"/>
    </row>
    <row r="10" spans="1:16">
      <c r="C10" s="128" t="s">
        <v>226</v>
      </c>
      <c r="D10" s="335">
        <v>4688896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2009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5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123392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C17" s="50">
        <f>IF(D11= "","-",D11)</f>
        <v>2009</v>
      </c>
      <c r="D17" s="348">
        <v>6704177</v>
      </c>
      <c r="E17" s="349">
        <v>73788</v>
      </c>
      <c r="F17" s="348">
        <v>6630389</v>
      </c>
      <c r="G17" s="349">
        <v>750999</v>
      </c>
      <c r="H17" s="349">
        <v>750999</v>
      </c>
      <c r="I17" s="52">
        <f t="shared" ref="I17:I48" si="0">H17-G17</f>
        <v>0</v>
      </c>
      <c r="J17" s="52"/>
      <c r="K17" s="350">
        <v>750999</v>
      </c>
      <c r="L17" s="53">
        <f t="shared" ref="L17:L48" si="1">IF(K17&lt;&gt;0,+G17-K17,0)</f>
        <v>0</v>
      </c>
      <c r="M17" s="350">
        <v>750999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2010</v>
      </c>
      <c r="D18" s="351">
        <v>4651603</v>
      </c>
      <c r="E18" s="352">
        <v>84382</v>
      </c>
      <c r="F18" s="351">
        <v>4567221</v>
      </c>
      <c r="G18" s="352">
        <v>743416</v>
      </c>
      <c r="H18" s="353">
        <v>743416</v>
      </c>
      <c r="I18" s="52">
        <f t="shared" si="0"/>
        <v>0</v>
      </c>
      <c r="J18" s="52"/>
      <c r="K18" s="350">
        <f t="shared" ref="K18:K23" si="4">G18</f>
        <v>743416</v>
      </c>
      <c r="L18" s="54">
        <f t="shared" si="1"/>
        <v>0</v>
      </c>
      <c r="M18" s="350">
        <f t="shared" ref="M18:M23" si="5">H18</f>
        <v>743416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2011</v>
      </c>
      <c r="D19" s="351">
        <v>4530726</v>
      </c>
      <c r="E19" s="352">
        <v>91939.137254901958</v>
      </c>
      <c r="F19" s="351">
        <v>4438786.8627450978</v>
      </c>
      <c r="G19" s="352">
        <v>786801.66702531651</v>
      </c>
      <c r="H19" s="353">
        <v>786801.66702531651</v>
      </c>
      <c r="I19" s="52">
        <f t="shared" si="0"/>
        <v>0</v>
      </c>
      <c r="J19" s="52"/>
      <c r="K19" s="350">
        <f t="shared" si="4"/>
        <v>786801.66702531651</v>
      </c>
      <c r="L19" s="54">
        <f t="shared" si="1"/>
        <v>0</v>
      </c>
      <c r="M19" s="350">
        <f t="shared" si="5"/>
        <v>786801.66702531651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2012</v>
      </c>
      <c r="D20" s="351">
        <v>4438786.8627450978</v>
      </c>
      <c r="E20" s="352">
        <v>90171.076923076922</v>
      </c>
      <c r="F20" s="351">
        <v>4348615.7858220208</v>
      </c>
      <c r="G20" s="352">
        <v>695527.67751323315</v>
      </c>
      <c r="H20" s="353">
        <v>695527.67751323315</v>
      </c>
      <c r="I20" s="52">
        <f t="shared" si="0"/>
        <v>0</v>
      </c>
      <c r="J20" s="52"/>
      <c r="K20" s="350">
        <f t="shared" si="4"/>
        <v>695527.67751323315</v>
      </c>
      <c r="L20" s="54">
        <f t="shared" si="1"/>
        <v>0</v>
      </c>
      <c r="M20" s="350">
        <f t="shared" si="5"/>
        <v>695527.67751323315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2013</v>
      </c>
      <c r="D21" s="351">
        <v>4348615.7858220208</v>
      </c>
      <c r="E21" s="352">
        <v>90171.076923076922</v>
      </c>
      <c r="F21" s="351">
        <v>4258444.7088989438</v>
      </c>
      <c r="G21" s="352">
        <v>698305.7699783385</v>
      </c>
      <c r="H21" s="353">
        <v>698305.7699783385</v>
      </c>
      <c r="I21" s="52">
        <v>0</v>
      </c>
      <c r="J21" s="52"/>
      <c r="K21" s="350">
        <f t="shared" si="4"/>
        <v>698305.7699783385</v>
      </c>
      <c r="L21" s="54">
        <f t="shared" ref="L21:L26" si="7">IF(K21&lt;&gt;0,+G21-K21,0)</f>
        <v>0</v>
      </c>
      <c r="M21" s="350">
        <f t="shared" si="5"/>
        <v>698305.7699783385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>
      <c r="B22" s="7" t="str">
        <f t="shared" si="6"/>
        <v/>
      </c>
      <c r="C22" s="50">
        <f>IF(D11="","-",+C21+1)</f>
        <v>2014</v>
      </c>
      <c r="D22" s="351">
        <v>4258444.7088989438</v>
      </c>
      <c r="E22" s="352">
        <v>90171.076923076922</v>
      </c>
      <c r="F22" s="351">
        <v>4168273.6319758669</v>
      </c>
      <c r="G22" s="352">
        <v>663970.48849892756</v>
      </c>
      <c r="H22" s="353">
        <v>663970.48849892756</v>
      </c>
      <c r="I22" s="52">
        <v>0</v>
      </c>
      <c r="J22" s="52"/>
      <c r="K22" s="350">
        <f t="shared" si="4"/>
        <v>663970.48849892756</v>
      </c>
      <c r="L22" s="54">
        <f t="shared" si="7"/>
        <v>0</v>
      </c>
      <c r="M22" s="350">
        <f t="shared" si="5"/>
        <v>663970.48849892756</v>
      </c>
      <c r="N22" s="54">
        <f t="shared" si="8"/>
        <v>0</v>
      </c>
      <c r="O22" s="54">
        <f t="shared" si="9"/>
        <v>0</v>
      </c>
      <c r="P22" s="1"/>
    </row>
    <row r="23" spans="2:16">
      <c r="B23" s="7" t="str">
        <f t="shared" si="6"/>
        <v/>
      </c>
      <c r="C23" s="50">
        <f>IF(D11="","-",+C22+1)</f>
        <v>2015</v>
      </c>
      <c r="D23" s="351">
        <v>4168273.6319758669</v>
      </c>
      <c r="E23" s="352">
        <v>90171.076923076922</v>
      </c>
      <c r="F23" s="351">
        <v>4078102.5550527899</v>
      </c>
      <c r="G23" s="352">
        <v>652425.83265151177</v>
      </c>
      <c r="H23" s="353">
        <v>652425.83265151177</v>
      </c>
      <c r="I23" s="52">
        <v>0</v>
      </c>
      <c r="J23" s="52"/>
      <c r="K23" s="350">
        <f t="shared" si="4"/>
        <v>652425.83265151177</v>
      </c>
      <c r="L23" s="54">
        <f t="shared" si="7"/>
        <v>0</v>
      </c>
      <c r="M23" s="350">
        <f t="shared" si="5"/>
        <v>652425.83265151177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2016</v>
      </c>
      <c r="D24" s="351">
        <v>4078102.5550527899</v>
      </c>
      <c r="E24" s="352">
        <v>90171.076923076922</v>
      </c>
      <c r="F24" s="351">
        <v>3987931.4781297129</v>
      </c>
      <c r="G24" s="352">
        <v>613226.71011811122</v>
      </c>
      <c r="H24" s="353">
        <v>613226.71011811122</v>
      </c>
      <c r="I24" s="52">
        <f t="shared" si="0"/>
        <v>0</v>
      </c>
      <c r="J24" s="52"/>
      <c r="K24" s="350">
        <f t="shared" ref="K24:K29" si="10">G24</f>
        <v>613226.71011811122</v>
      </c>
      <c r="L24" s="54">
        <f t="shared" si="7"/>
        <v>0</v>
      </c>
      <c r="M24" s="350">
        <f t="shared" ref="M24:M29" si="11">H24</f>
        <v>613226.71011811122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2017</v>
      </c>
      <c r="D25" s="351">
        <v>3987931.4781297129</v>
      </c>
      <c r="E25" s="352">
        <v>101932.52173913043</v>
      </c>
      <c r="F25" s="351">
        <v>3885998.9563905825</v>
      </c>
      <c r="G25" s="352">
        <v>596467.29312714399</v>
      </c>
      <c r="H25" s="353">
        <v>596467.29312714399</v>
      </c>
      <c r="I25" s="52">
        <f t="shared" si="0"/>
        <v>0</v>
      </c>
      <c r="J25" s="385"/>
      <c r="K25" s="350">
        <f t="shared" si="10"/>
        <v>596467.29312714399</v>
      </c>
      <c r="L25" s="54">
        <f t="shared" si="7"/>
        <v>0</v>
      </c>
      <c r="M25" s="350">
        <f t="shared" si="11"/>
        <v>596467.29312714399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2018</v>
      </c>
      <c r="D26" s="351">
        <v>3885998.9563905825</v>
      </c>
      <c r="E26" s="352">
        <v>104197.68888888889</v>
      </c>
      <c r="F26" s="351">
        <v>3781801.2675016937</v>
      </c>
      <c r="G26" s="352">
        <v>563341.50507496181</v>
      </c>
      <c r="H26" s="353">
        <v>563341.50507496181</v>
      </c>
      <c r="I26" s="52">
        <f t="shared" si="0"/>
        <v>0</v>
      </c>
      <c r="J26" s="385"/>
      <c r="K26" s="350">
        <f t="shared" si="10"/>
        <v>563341.50507496181</v>
      </c>
      <c r="L26" s="54">
        <f t="shared" si="7"/>
        <v>0</v>
      </c>
      <c r="M26" s="350">
        <f t="shared" si="11"/>
        <v>563341.50507496181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2019</v>
      </c>
      <c r="D27" s="351">
        <v>3781801.2675016937</v>
      </c>
      <c r="E27" s="352">
        <v>117222.39999999999</v>
      </c>
      <c r="F27" s="351">
        <v>3664578.8675016938</v>
      </c>
      <c r="G27" s="352">
        <v>532941.26061774243</v>
      </c>
      <c r="H27" s="353">
        <v>532941.26061774243</v>
      </c>
      <c r="I27" s="52">
        <f t="shared" si="0"/>
        <v>0</v>
      </c>
      <c r="J27" s="386"/>
      <c r="K27" s="350">
        <f t="shared" si="10"/>
        <v>532941.26061774243</v>
      </c>
      <c r="L27" s="54">
        <f t="shared" ref="L27" si="12">IF(K27&lt;&gt;0,+G27-K27,0)</f>
        <v>0</v>
      </c>
      <c r="M27" s="350">
        <f t="shared" si="11"/>
        <v>532941.26061774243</v>
      </c>
      <c r="N27" s="54">
        <f t="shared" ref="N27" si="13">IF(M27&lt;&gt;0,+H27-M27,0)</f>
        <v>0</v>
      </c>
      <c r="O27" s="54">
        <f t="shared" ref="O27" si="14">+N27-L27</f>
        <v>0</v>
      </c>
      <c r="P27" s="1"/>
    </row>
    <row r="28" spans="2:16">
      <c r="B28" s="7" t="str">
        <f t="shared" si="6"/>
        <v>IU</v>
      </c>
      <c r="C28" s="50">
        <f>IF(D11="","-",+C27+1)</f>
        <v>2020</v>
      </c>
      <c r="D28" s="351">
        <v>3677603.5786128049</v>
      </c>
      <c r="E28" s="352">
        <v>111640.38095238095</v>
      </c>
      <c r="F28" s="351">
        <v>3565963.1976604238</v>
      </c>
      <c r="G28" s="352">
        <v>502810.28780425031</v>
      </c>
      <c r="H28" s="353">
        <v>502810.28780425031</v>
      </c>
      <c r="I28" s="52">
        <f t="shared" si="0"/>
        <v>0</v>
      </c>
      <c r="J28" s="52"/>
      <c r="K28" s="350">
        <f t="shared" si="10"/>
        <v>502810.28780425031</v>
      </c>
      <c r="L28" s="54">
        <f t="shared" ref="L28" si="15">IF(K28&lt;&gt;0,+G28-K28,0)</f>
        <v>0</v>
      </c>
      <c r="M28" s="350">
        <f t="shared" si="11"/>
        <v>502810.28780425031</v>
      </c>
      <c r="N28" s="54">
        <f t="shared" ref="N28" si="16">IF(M28&lt;&gt;0,+H28-M28,0)</f>
        <v>0</v>
      </c>
      <c r="O28" s="54">
        <f t="shared" si="3"/>
        <v>0</v>
      </c>
      <c r="P28" s="1"/>
    </row>
    <row r="29" spans="2:16">
      <c r="B29" s="7" t="str">
        <f t="shared" si="6"/>
        <v>IU</v>
      </c>
      <c r="C29" s="50">
        <f>IF(D11="","-",+C28+1)</f>
        <v>2021</v>
      </c>
      <c r="D29" s="351">
        <v>3552938.4865493132</v>
      </c>
      <c r="E29" s="352">
        <v>109044.09302325582</v>
      </c>
      <c r="F29" s="351">
        <v>3443894.3935260572</v>
      </c>
      <c r="G29" s="352">
        <v>480370.47549623175</v>
      </c>
      <c r="H29" s="353">
        <v>480370.47549623175</v>
      </c>
      <c r="I29" s="52">
        <f t="shared" si="0"/>
        <v>0</v>
      </c>
      <c r="J29" s="52"/>
      <c r="K29" s="350">
        <f t="shared" si="10"/>
        <v>480370.47549623175</v>
      </c>
      <c r="L29" s="54">
        <f t="shared" ref="L29" si="17">IF(K29&lt;&gt;0,+G29-K29,0)</f>
        <v>0</v>
      </c>
      <c r="M29" s="350">
        <f t="shared" si="11"/>
        <v>480370.47549623175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/>
      </c>
      <c r="C30" s="50">
        <f>IF(D11="","-",+C29+1)</f>
        <v>2022</v>
      </c>
      <c r="D30" s="351">
        <v>3443894.3935260572</v>
      </c>
      <c r="E30" s="352">
        <v>111640.38095238095</v>
      </c>
      <c r="F30" s="351">
        <v>3332254.0125736762</v>
      </c>
      <c r="G30" s="352">
        <v>470894.83739416272</v>
      </c>
      <c r="H30" s="353">
        <v>470894.83739416272</v>
      </c>
      <c r="I30" s="52">
        <f t="shared" si="0"/>
        <v>0</v>
      </c>
      <c r="J30" s="52"/>
      <c r="K30" s="350">
        <f t="shared" ref="K30" si="18">G30</f>
        <v>470894.83739416272</v>
      </c>
      <c r="L30" s="54">
        <f t="shared" ref="L30" si="19">IF(K30&lt;&gt;0,+G30-K30,0)</f>
        <v>0</v>
      </c>
      <c r="M30" s="350">
        <f t="shared" ref="M30" si="20">H30</f>
        <v>470894.83739416272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/>
      </c>
      <c r="C31" s="50">
        <f>IF(D11="","-",+C30+1)</f>
        <v>2023</v>
      </c>
      <c r="D31" s="351">
        <v>3332254.0125736762</v>
      </c>
      <c r="E31" s="352">
        <v>120228.10256410256</v>
      </c>
      <c r="F31" s="351">
        <v>3212025.9100095737</v>
      </c>
      <c r="G31" s="352">
        <v>503612.14466528577</v>
      </c>
      <c r="H31" s="353">
        <v>503612.14466528577</v>
      </c>
      <c r="I31" s="52">
        <f t="shared" si="0"/>
        <v>0</v>
      </c>
      <c r="J31" s="52"/>
      <c r="K31" s="350">
        <f t="shared" ref="K31" si="21">G31</f>
        <v>503612.14466528577</v>
      </c>
      <c r="L31" s="54">
        <f t="shared" ref="L31" si="22">IF(K31&lt;&gt;0,+G31-K31,0)</f>
        <v>0</v>
      </c>
      <c r="M31" s="350">
        <f t="shared" ref="M31" si="23">H31</f>
        <v>503612.14466528577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2024</v>
      </c>
      <c r="D32" s="351">
        <v>3212025.9100095737</v>
      </c>
      <c r="E32" s="352">
        <v>123392</v>
      </c>
      <c r="F32" s="351">
        <v>3088633.9100095737</v>
      </c>
      <c r="G32" s="352">
        <v>474693.80028916837</v>
      </c>
      <c r="H32" s="353">
        <v>474693.80028916837</v>
      </c>
      <c r="I32" s="52">
        <f t="shared" si="0"/>
        <v>0</v>
      </c>
      <c r="J32" s="52"/>
      <c r="K32" s="350">
        <f t="shared" ref="K32" si="24">G32</f>
        <v>474693.80028916837</v>
      </c>
      <c r="L32" s="54">
        <f t="shared" ref="L32" si="25">IF(K32&lt;&gt;0,+G32-K32,0)</f>
        <v>0</v>
      </c>
      <c r="M32" s="350">
        <f t="shared" ref="M32" si="26">H32</f>
        <v>474693.80028916837</v>
      </c>
      <c r="N32" s="54">
        <f t="shared" ref="N32" si="27">IF(M32&lt;&gt;0,+H32-M32,0)</f>
        <v>0</v>
      </c>
      <c r="O32" s="54">
        <f t="shared" ref="O32" si="28">+N32-L32</f>
        <v>0</v>
      </c>
      <c r="P32" s="1"/>
    </row>
    <row r="33" spans="2:16">
      <c r="B33" s="7" t="str">
        <f t="shared" si="6"/>
        <v/>
      </c>
      <c r="C33" s="50">
        <f>IF(D11="","-",+C32+1)</f>
        <v>2025</v>
      </c>
      <c r="D33" s="351">
        <v>3088633.9100095737</v>
      </c>
      <c r="E33" s="352">
        <v>123392</v>
      </c>
      <c r="F33" s="351">
        <v>2965241.9100095737</v>
      </c>
      <c r="G33" s="352">
        <v>460262.73781694262</v>
      </c>
      <c r="H33" s="353">
        <v>460262.73781694262</v>
      </c>
      <c r="I33" s="52">
        <f t="shared" si="0"/>
        <v>0</v>
      </c>
      <c r="J33" s="52"/>
      <c r="K33" s="350">
        <f t="shared" ref="K33" si="29">G33</f>
        <v>460262.73781694262</v>
      </c>
      <c r="L33" s="54">
        <f t="shared" ref="L33" si="30">IF(K33&lt;&gt;0,+G33-K33,0)</f>
        <v>0</v>
      </c>
      <c r="M33" s="350">
        <f t="shared" ref="M33" si="31">H33</f>
        <v>460262.73781694262</v>
      </c>
      <c r="N33" s="54">
        <f t="shared" ref="N33" si="32">IF(M33&lt;&gt;0,+H33-M33,0)</f>
        <v>0</v>
      </c>
      <c r="O33" s="54">
        <f t="shared" ref="O33" si="33">+N33-L33</f>
        <v>0</v>
      </c>
      <c r="P33" s="1"/>
    </row>
    <row r="34" spans="2:16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2965241.9100095737</v>
      </c>
      <c r="E34" s="354">
        <f>IF(+I14&lt;F33,I14,D34)</f>
        <v>123392</v>
      </c>
      <c r="F34" s="55">
        <f t="shared" ref="F34:F48" si="34">+D34-E34</f>
        <v>2841849.9100095737</v>
      </c>
      <c r="G34" s="355">
        <f t="shared" ref="G34:G72" si="35">(D34+F34)/2*I$12+E34</f>
        <v>453253.67155149009</v>
      </c>
      <c r="H34" s="336">
        <f t="shared" ref="H34:H72" si="36">+(D34+F34)/2*I$13+E34</f>
        <v>453253.67155149009</v>
      </c>
      <c r="I34" s="52">
        <f t="shared" si="0"/>
        <v>0</v>
      </c>
      <c r="J34" s="52"/>
      <c r="K34" s="115"/>
      <c r="L34" s="54">
        <f t="shared" si="1"/>
        <v>0</v>
      </c>
      <c r="M34" s="115"/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2841849.9100095737</v>
      </c>
      <c r="E35" s="354">
        <f>IF(+I14&lt;F34,I14,D35)</f>
        <v>123392</v>
      </c>
      <c r="F35" s="55">
        <f t="shared" si="34"/>
        <v>2718457.9100095737</v>
      </c>
      <c r="G35" s="355">
        <f t="shared" si="35"/>
        <v>439235.53902058507</v>
      </c>
      <c r="H35" s="336">
        <f t="shared" si="36"/>
        <v>439235.53902058507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2718457.9100095737</v>
      </c>
      <c r="E36" s="354">
        <f>IF(+I14&lt;F35,I14,D36)</f>
        <v>123392</v>
      </c>
      <c r="F36" s="55">
        <f t="shared" si="34"/>
        <v>2595065.9100095737</v>
      </c>
      <c r="G36" s="355">
        <f t="shared" si="35"/>
        <v>425217.40648968</v>
      </c>
      <c r="H36" s="336">
        <f t="shared" si="36"/>
        <v>425217.40648968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2595065.9100095737</v>
      </c>
      <c r="E37" s="354">
        <f>IF(+I14&lt;F36,I14,D37)</f>
        <v>123392</v>
      </c>
      <c r="F37" s="55">
        <f t="shared" si="34"/>
        <v>2471673.9100095737</v>
      </c>
      <c r="G37" s="355">
        <f t="shared" si="35"/>
        <v>411199.27395877498</v>
      </c>
      <c r="H37" s="336">
        <f t="shared" si="36"/>
        <v>411199.27395877498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2471673.9100095737</v>
      </c>
      <c r="E38" s="354">
        <f>IF(+I14&lt;F37,I14,D38)</f>
        <v>123392</v>
      </c>
      <c r="F38" s="55">
        <f t="shared" si="34"/>
        <v>2348281.9100095737</v>
      </c>
      <c r="G38" s="355">
        <f t="shared" si="35"/>
        <v>397181.14142786997</v>
      </c>
      <c r="H38" s="336">
        <f t="shared" si="36"/>
        <v>397181.14142786997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2348281.9100095737</v>
      </c>
      <c r="E39" s="354">
        <f>IF(+I14&lt;F38,I14,D39)</f>
        <v>123392</v>
      </c>
      <c r="F39" s="55">
        <f t="shared" si="34"/>
        <v>2224889.9100095737</v>
      </c>
      <c r="G39" s="355">
        <f t="shared" si="35"/>
        <v>383163.00889696495</v>
      </c>
      <c r="H39" s="336">
        <f t="shared" si="36"/>
        <v>383163.00889696495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2224889.9100095737</v>
      </c>
      <c r="E40" s="354">
        <f>IF(+I14&lt;F39,I14,D40)</f>
        <v>123392</v>
      </c>
      <c r="F40" s="55">
        <f t="shared" si="34"/>
        <v>2101497.9100095737</v>
      </c>
      <c r="G40" s="355">
        <f t="shared" si="35"/>
        <v>369144.87636605988</v>
      </c>
      <c r="H40" s="336">
        <f t="shared" si="36"/>
        <v>369144.87636605988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2101497.9100095737</v>
      </c>
      <c r="E41" s="354">
        <f>IF(+I14&lt;F40,I14,D41)</f>
        <v>123392</v>
      </c>
      <c r="F41" s="55">
        <f t="shared" si="34"/>
        <v>1978105.9100095737</v>
      </c>
      <c r="G41" s="355">
        <f t="shared" si="35"/>
        <v>355126.7438351548</v>
      </c>
      <c r="H41" s="336">
        <f t="shared" si="36"/>
        <v>355126.7438351548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1978105.9100095737</v>
      </c>
      <c r="E42" s="354">
        <f>IF(+I14&lt;F41,I14,D42)</f>
        <v>123392</v>
      </c>
      <c r="F42" s="55">
        <f t="shared" si="34"/>
        <v>1854713.9100095737</v>
      </c>
      <c r="G42" s="355">
        <f t="shared" si="35"/>
        <v>341108.61130424985</v>
      </c>
      <c r="H42" s="336">
        <f t="shared" si="36"/>
        <v>341108.61130424985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1854713.9100095737</v>
      </c>
      <c r="E43" s="354">
        <f>IF(+I14&lt;F42,I14,D43)</f>
        <v>123392</v>
      </c>
      <c r="F43" s="55">
        <f t="shared" si="34"/>
        <v>1731321.9100095737</v>
      </c>
      <c r="G43" s="355">
        <f t="shared" si="35"/>
        <v>327090.47877334477</v>
      </c>
      <c r="H43" s="336">
        <f t="shared" si="36"/>
        <v>327090.47877334477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1731321.9100095737</v>
      </c>
      <c r="E44" s="354">
        <f>IF(+I14&lt;F43,I14,D44)</f>
        <v>123392</v>
      </c>
      <c r="F44" s="55">
        <f t="shared" si="34"/>
        <v>1607929.9100095737</v>
      </c>
      <c r="G44" s="355">
        <f t="shared" si="35"/>
        <v>313072.3462424397</v>
      </c>
      <c r="H44" s="336">
        <f t="shared" si="36"/>
        <v>313072.3462424397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1607929.9100095737</v>
      </c>
      <c r="E45" s="354">
        <f>IF(+I14&lt;F44,I14,D45)</f>
        <v>123392</v>
      </c>
      <c r="F45" s="55">
        <f t="shared" si="34"/>
        <v>1484537.9100095737</v>
      </c>
      <c r="G45" s="355">
        <f t="shared" si="35"/>
        <v>299054.21371153474</v>
      </c>
      <c r="H45" s="336">
        <f t="shared" si="36"/>
        <v>299054.21371153474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1484537.9100095737</v>
      </c>
      <c r="E46" s="354">
        <f>IF(+I14&lt;F45,I14,D46)</f>
        <v>123392</v>
      </c>
      <c r="F46" s="55">
        <f t="shared" si="34"/>
        <v>1361145.9100095737</v>
      </c>
      <c r="G46" s="355">
        <f t="shared" si="35"/>
        <v>285036.08118062967</v>
      </c>
      <c r="H46" s="336">
        <f t="shared" si="36"/>
        <v>285036.08118062967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1361145.9100095737</v>
      </c>
      <c r="E47" s="354">
        <f>IF(+I14&lt;F46,I14,D47)</f>
        <v>123392</v>
      </c>
      <c r="F47" s="55">
        <f t="shared" si="34"/>
        <v>1237753.9100095737</v>
      </c>
      <c r="G47" s="355">
        <f t="shared" si="35"/>
        <v>271017.94864972465</v>
      </c>
      <c r="H47" s="336">
        <f t="shared" si="36"/>
        <v>271017.94864972465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1237753.9100095737</v>
      </c>
      <c r="E48" s="354">
        <f>IF(+I14&lt;F47,I14,D48)</f>
        <v>123392</v>
      </c>
      <c r="F48" s="55">
        <f t="shared" si="34"/>
        <v>1114361.9100095737</v>
      </c>
      <c r="G48" s="355">
        <f t="shared" si="35"/>
        <v>256999.81611881961</v>
      </c>
      <c r="H48" s="336">
        <f t="shared" si="36"/>
        <v>256999.81611881961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1114361.9100095737</v>
      </c>
      <c r="E49" s="354">
        <f>IF(+I14&lt;F48,I14,D49)</f>
        <v>123392</v>
      </c>
      <c r="F49" s="55">
        <f t="shared" ref="F49:F72" si="37">+D49-E49</f>
        <v>990969.91000957368</v>
      </c>
      <c r="G49" s="355">
        <f t="shared" si="35"/>
        <v>242981.68358791457</v>
      </c>
      <c r="H49" s="336">
        <f t="shared" si="36"/>
        <v>242981.68358791457</v>
      </c>
      <c r="I49" s="52">
        <f t="shared" ref="I49:I72" si="38">H49-G49</f>
        <v>0</v>
      </c>
      <c r="J49" s="52"/>
      <c r="K49" s="115"/>
      <c r="L49" s="54">
        <f t="shared" ref="L49:L72" si="39">IF(K49&lt;&gt;0,+G49-K49,0)</f>
        <v>0</v>
      </c>
      <c r="M49" s="115"/>
      <c r="N49" s="54">
        <f t="shared" ref="N49:N72" si="40">IF(M49&lt;&gt;0,+H49-M49,0)</f>
        <v>0</v>
      </c>
      <c r="O49" s="54">
        <f t="shared" ref="O49:O72" si="41">+N49-L49</f>
        <v>0</v>
      </c>
      <c r="P49" s="1"/>
    </row>
    <row r="50" spans="2:16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990969.91000957368</v>
      </c>
      <c r="E50" s="354">
        <f>IF(+I14&lt;F49,I14,D50)</f>
        <v>123392</v>
      </c>
      <c r="F50" s="55">
        <f t="shared" si="37"/>
        <v>867577.91000957368</v>
      </c>
      <c r="G50" s="355">
        <f t="shared" si="35"/>
        <v>228963.55105700955</v>
      </c>
      <c r="H50" s="336">
        <f t="shared" si="36"/>
        <v>228963.55105700955</v>
      </c>
      <c r="I50" s="52">
        <f t="shared" si="38"/>
        <v>0</v>
      </c>
      <c r="J50" s="52"/>
      <c r="K50" s="115"/>
      <c r="L50" s="54">
        <f t="shared" si="39"/>
        <v>0</v>
      </c>
      <c r="M50" s="115"/>
      <c r="N50" s="54">
        <f t="shared" si="40"/>
        <v>0</v>
      </c>
      <c r="O50" s="54">
        <f t="shared" si="41"/>
        <v>0</v>
      </c>
      <c r="P50" s="1"/>
    </row>
    <row r="51" spans="2:16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867577.91000957368</v>
      </c>
      <c r="E51" s="354">
        <f>IF(+I14&lt;F50,I14,D51)</f>
        <v>123392</v>
      </c>
      <c r="F51" s="55">
        <f t="shared" si="37"/>
        <v>744185.91000957368</v>
      </c>
      <c r="G51" s="355">
        <f t="shared" si="35"/>
        <v>214945.41852610451</v>
      </c>
      <c r="H51" s="336">
        <f t="shared" si="36"/>
        <v>214945.41852610451</v>
      </c>
      <c r="I51" s="52">
        <f t="shared" si="38"/>
        <v>0</v>
      </c>
      <c r="J51" s="52"/>
      <c r="K51" s="115"/>
      <c r="L51" s="54">
        <f t="shared" si="39"/>
        <v>0</v>
      </c>
      <c r="M51" s="115"/>
      <c r="N51" s="54">
        <f t="shared" si="40"/>
        <v>0</v>
      </c>
      <c r="O51" s="54">
        <f t="shared" si="41"/>
        <v>0</v>
      </c>
      <c r="P51" s="1"/>
    </row>
    <row r="52" spans="2:16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744185.91000957368</v>
      </c>
      <c r="E52" s="354">
        <f>IF(+I14&lt;F51,I14,D52)</f>
        <v>123392</v>
      </c>
      <c r="F52" s="55">
        <f t="shared" si="37"/>
        <v>620793.91000957368</v>
      </c>
      <c r="G52" s="355">
        <f t="shared" si="35"/>
        <v>200927.28599519946</v>
      </c>
      <c r="H52" s="336">
        <f t="shared" si="36"/>
        <v>200927.28599519946</v>
      </c>
      <c r="I52" s="52">
        <f t="shared" si="38"/>
        <v>0</v>
      </c>
      <c r="J52" s="52"/>
      <c r="K52" s="115"/>
      <c r="L52" s="54">
        <f t="shared" si="39"/>
        <v>0</v>
      </c>
      <c r="M52" s="115"/>
      <c r="N52" s="54">
        <f t="shared" si="40"/>
        <v>0</v>
      </c>
      <c r="O52" s="54">
        <f t="shared" si="41"/>
        <v>0</v>
      </c>
      <c r="P52" s="1"/>
    </row>
    <row r="53" spans="2:16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620793.91000957368</v>
      </c>
      <c r="E53" s="354">
        <f>IF(+I14&lt;F52,I14,D53)</f>
        <v>123392</v>
      </c>
      <c r="F53" s="55">
        <f t="shared" si="37"/>
        <v>497401.91000957368</v>
      </c>
      <c r="G53" s="355">
        <f t="shared" si="35"/>
        <v>186909.15346429445</v>
      </c>
      <c r="H53" s="336">
        <f t="shared" si="36"/>
        <v>186909.15346429445</v>
      </c>
      <c r="I53" s="52">
        <f t="shared" si="38"/>
        <v>0</v>
      </c>
      <c r="J53" s="52"/>
      <c r="K53" s="115"/>
      <c r="L53" s="54">
        <f t="shared" si="39"/>
        <v>0</v>
      </c>
      <c r="M53" s="115"/>
      <c r="N53" s="54">
        <f t="shared" si="40"/>
        <v>0</v>
      </c>
      <c r="O53" s="54">
        <f t="shared" si="41"/>
        <v>0</v>
      </c>
      <c r="P53" s="1"/>
    </row>
    <row r="54" spans="2:16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497401.91000957368</v>
      </c>
      <c r="E54" s="354">
        <f>IF(+I14&lt;F53,I14,D54)</f>
        <v>123392</v>
      </c>
      <c r="F54" s="55">
        <f t="shared" si="37"/>
        <v>374009.91000957368</v>
      </c>
      <c r="G54" s="355">
        <f t="shared" si="35"/>
        <v>172891.0209333894</v>
      </c>
      <c r="H54" s="336">
        <f t="shared" si="36"/>
        <v>172891.0209333894</v>
      </c>
      <c r="I54" s="52">
        <f t="shared" si="38"/>
        <v>0</v>
      </c>
      <c r="J54" s="52"/>
      <c r="K54" s="115"/>
      <c r="L54" s="54">
        <f t="shared" si="39"/>
        <v>0</v>
      </c>
      <c r="M54" s="115"/>
      <c r="N54" s="54">
        <f t="shared" si="40"/>
        <v>0</v>
      </c>
      <c r="O54" s="54">
        <f t="shared" si="41"/>
        <v>0</v>
      </c>
      <c r="P54" s="1"/>
    </row>
    <row r="55" spans="2:16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374009.91000957368</v>
      </c>
      <c r="E55" s="354">
        <f>IF(+I14&lt;F54,I14,D55)</f>
        <v>123392</v>
      </c>
      <c r="F55" s="55">
        <f t="shared" si="37"/>
        <v>250617.91000957368</v>
      </c>
      <c r="G55" s="355">
        <f t="shared" si="35"/>
        <v>158872.88840248436</v>
      </c>
      <c r="H55" s="336">
        <f t="shared" si="36"/>
        <v>158872.88840248436</v>
      </c>
      <c r="I55" s="52">
        <f t="shared" si="38"/>
        <v>0</v>
      </c>
      <c r="J55" s="52"/>
      <c r="K55" s="115"/>
      <c r="L55" s="54">
        <f t="shared" si="39"/>
        <v>0</v>
      </c>
      <c r="M55" s="115"/>
      <c r="N55" s="54">
        <f t="shared" si="40"/>
        <v>0</v>
      </c>
      <c r="O55" s="54">
        <f t="shared" si="41"/>
        <v>0</v>
      </c>
      <c r="P55" s="1"/>
    </row>
    <row r="56" spans="2:16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250617.91000957368</v>
      </c>
      <c r="E56" s="354">
        <f>IF(+I14&lt;F55,I14,D56)</f>
        <v>123392</v>
      </c>
      <c r="F56" s="55">
        <f t="shared" si="37"/>
        <v>127225.91000957368</v>
      </c>
      <c r="G56" s="355">
        <f t="shared" si="35"/>
        <v>144854.75587157934</v>
      </c>
      <c r="H56" s="336">
        <f t="shared" si="36"/>
        <v>144854.75587157934</v>
      </c>
      <c r="I56" s="52">
        <f t="shared" si="38"/>
        <v>0</v>
      </c>
      <c r="J56" s="52"/>
      <c r="K56" s="115"/>
      <c r="L56" s="54">
        <f t="shared" si="39"/>
        <v>0</v>
      </c>
      <c r="M56" s="115"/>
      <c r="N56" s="54">
        <f t="shared" si="40"/>
        <v>0</v>
      </c>
      <c r="O56" s="54">
        <f t="shared" si="41"/>
        <v>0</v>
      </c>
      <c r="P56" s="1"/>
    </row>
    <row r="57" spans="2:16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127225.91000957368</v>
      </c>
      <c r="E57" s="354">
        <f>IF(+I14&lt;F56,I14,D57)</f>
        <v>123392</v>
      </c>
      <c r="F57" s="55">
        <f t="shared" si="37"/>
        <v>3833.9100095736794</v>
      </c>
      <c r="G57" s="355">
        <f t="shared" si="35"/>
        <v>130836.62334067431</v>
      </c>
      <c r="H57" s="336">
        <f t="shared" si="36"/>
        <v>130836.62334067431</v>
      </c>
      <c r="I57" s="52">
        <f t="shared" si="38"/>
        <v>0</v>
      </c>
      <c r="J57" s="52"/>
      <c r="K57" s="115"/>
      <c r="L57" s="54">
        <f t="shared" si="39"/>
        <v>0</v>
      </c>
      <c r="M57" s="115"/>
      <c r="N57" s="54">
        <f t="shared" si="40"/>
        <v>0</v>
      </c>
      <c r="O57" s="54">
        <f t="shared" si="41"/>
        <v>0</v>
      </c>
      <c r="P57" s="1"/>
    </row>
    <row r="58" spans="2:16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3833.9100095736794</v>
      </c>
      <c r="E58" s="354">
        <f>IF(+I14&lt;F57,I14,D58)</f>
        <v>3833.9100095736794</v>
      </c>
      <c r="F58" s="55">
        <f t="shared" si="37"/>
        <v>0</v>
      </c>
      <c r="G58" s="355">
        <f t="shared" si="35"/>
        <v>4051.6885471845749</v>
      </c>
      <c r="H58" s="336">
        <f t="shared" si="36"/>
        <v>4051.6885471845749</v>
      </c>
      <c r="I58" s="52">
        <f t="shared" si="38"/>
        <v>0</v>
      </c>
      <c r="J58" s="52"/>
      <c r="K58" s="115"/>
      <c r="L58" s="54">
        <f t="shared" si="39"/>
        <v>0</v>
      </c>
      <c r="M58" s="115"/>
      <c r="N58" s="54">
        <f t="shared" si="40"/>
        <v>0</v>
      </c>
      <c r="O58" s="54">
        <f t="shared" si="41"/>
        <v>0</v>
      </c>
      <c r="P58" s="1"/>
    </row>
    <row r="59" spans="2:16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0</v>
      </c>
      <c r="E59" s="354">
        <f>IF(+I14&lt;F58,I14,D59)</f>
        <v>0</v>
      </c>
      <c r="F59" s="55">
        <f t="shared" si="37"/>
        <v>0</v>
      </c>
      <c r="G59" s="355">
        <f t="shared" si="35"/>
        <v>0</v>
      </c>
      <c r="H59" s="336">
        <f t="shared" si="36"/>
        <v>0</v>
      </c>
      <c r="I59" s="52">
        <f t="shared" si="38"/>
        <v>0</v>
      </c>
      <c r="J59" s="52"/>
      <c r="K59" s="115"/>
      <c r="L59" s="54">
        <f t="shared" si="39"/>
        <v>0</v>
      </c>
      <c r="M59" s="115"/>
      <c r="N59" s="54">
        <f t="shared" si="40"/>
        <v>0</v>
      </c>
      <c r="O59" s="54">
        <f t="shared" si="41"/>
        <v>0</v>
      </c>
      <c r="P59" s="1"/>
    </row>
    <row r="60" spans="2:16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54">
        <f>IF(+I14&lt;F59,I14,D60)</f>
        <v>0</v>
      </c>
      <c r="F60" s="55">
        <f t="shared" si="37"/>
        <v>0</v>
      </c>
      <c r="G60" s="355">
        <f t="shared" si="35"/>
        <v>0</v>
      </c>
      <c r="H60" s="336">
        <f t="shared" si="36"/>
        <v>0</v>
      </c>
      <c r="I60" s="52">
        <f t="shared" si="38"/>
        <v>0</v>
      </c>
      <c r="J60" s="52"/>
      <c r="K60" s="115"/>
      <c r="L60" s="54">
        <f t="shared" si="39"/>
        <v>0</v>
      </c>
      <c r="M60" s="115"/>
      <c r="N60" s="54">
        <f t="shared" si="40"/>
        <v>0</v>
      </c>
      <c r="O60" s="54">
        <f t="shared" si="41"/>
        <v>0</v>
      </c>
      <c r="P60" s="1"/>
    </row>
    <row r="61" spans="2:16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54">
        <f>IF(+I14&lt;F60,I14,D61)</f>
        <v>0</v>
      </c>
      <c r="F61" s="55">
        <f t="shared" si="37"/>
        <v>0</v>
      </c>
      <c r="G61" s="355">
        <f t="shared" si="35"/>
        <v>0</v>
      </c>
      <c r="H61" s="336">
        <f t="shared" si="36"/>
        <v>0</v>
      </c>
      <c r="I61" s="52">
        <f t="shared" si="38"/>
        <v>0</v>
      </c>
      <c r="J61" s="52"/>
      <c r="K61" s="115"/>
      <c r="L61" s="54">
        <f t="shared" si="39"/>
        <v>0</v>
      </c>
      <c r="M61" s="115"/>
      <c r="N61" s="54">
        <f t="shared" si="40"/>
        <v>0</v>
      </c>
      <c r="O61" s="54">
        <f t="shared" si="41"/>
        <v>0</v>
      </c>
      <c r="P61" s="1"/>
    </row>
    <row r="62" spans="2:16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54">
        <f>IF(+I14&lt;F61,I14,D62)</f>
        <v>0</v>
      </c>
      <c r="F62" s="55">
        <f t="shared" si="37"/>
        <v>0</v>
      </c>
      <c r="G62" s="355">
        <f t="shared" si="35"/>
        <v>0</v>
      </c>
      <c r="H62" s="336">
        <f t="shared" si="36"/>
        <v>0</v>
      </c>
      <c r="I62" s="52">
        <f t="shared" si="38"/>
        <v>0</v>
      </c>
      <c r="J62" s="52"/>
      <c r="K62" s="115"/>
      <c r="L62" s="54">
        <f t="shared" si="39"/>
        <v>0</v>
      </c>
      <c r="M62" s="115"/>
      <c r="N62" s="54">
        <f t="shared" si="40"/>
        <v>0</v>
      </c>
      <c r="O62" s="54">
        <f t="shared" si="41"/>
        <v>0</v>
      </c>
      <c r="P62" s="1"/>
    </row>
    <row r="63" spans="2:16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54">
        <f>IF(+I14&lt;F62,I14,D63)</f>
        <v>0</v>
      </c>
      <c r="F63" s="55">
        <f t="shared" si="37"/>
        <v>0</v>
      </c>
      <c r="G63" s="355">
        <f t="shared" si="35"/>
        <v>0</v>
      </c>
      <c r="H63" s="336">
        <f t="shared" si="36"/>
        <v>0</v>
      </c>
      <c r="I63" s="52">
        <f t="shared" si="38"/>
        <v>0</v>
      </c>
      <c r="J63" s="52"/>
      <c r="K63" s="115"/>
      <c r="L63" s="54">
        <f t="shared" si="39"/>
        <v>0</v>
      </c>
      <c r="M63" s="115"/>
      <c r="N63" s="54">
        <f t="shared" si="40"/>
        <v>0</v>
      </c>
      <c r="O63" s="54">
        <f t="shared" si="41"/>
        <v>0</v>
      </c>
      <c r="P63" s="1"/>
    </row>
    <row r="64" spans="2:16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54">
        <f>IF(+I14&lt;F63,I14,D64)</f>
        <v>0</v>
      </c>
      <c r="F64" s="55">
        <f t="shared" si="37"/>
        <v>0</v>
      </c>
      <c r="G64" s="355">
        <f t="shared" si="35"/>
        <v>0</v>
      </c>
      <c r="H64" s="336">
        <f t="shared" si="36"/>
        <v>0</v>
      </c>
      <c r="I64" s="52">
        <f t="shared" si="38"/>
        <v>0</v>
      </c>
      <c r="J64" s="52"/>
      <c r="K64" s="115"/>
      <c r="L64" s="54">
        <f t="shared" si="39"/>
        <v>0</v>
      </c>
      <c r="M64" s="115"/>
      <c r="N64" s="54">
        <f t="shared" si="40"/>
        <v>0</v>
      </c>
      <c r="O64" s="54">
        <f t="shared" si="41"/>
        <v>0</v>
      </c>
      <c r="P64" s="1"/>
    </row>
    <row r="65" spans="2:16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54">
        <f>IF(+I14&lt;F64,I14,D65)</f>
        <v>0</v>
      </c>
      <c r="F65" s="55">
        <f t="shared" si="37"/>
        <v>0</v>
      </c>
      <c r="G65" s="355">
        <f t="shared" si="35"/>
        <v>0</v>
      </c>
      <c r="H65" s="336">
        <f t="shared" si="36"/>
        <v>0</v>
      </c>
      <c r="I65" s="52">
        <f t="shared" si="38"/>
        <v>0</v>
      </c>
      <c r="J65" s="52"/>
      <c r="K65" s="115"/>
      <c r="L65" s="54">
        <f t="shared" si="39"/>
        <v>0</v>
      </c>
      <c r="M65" s="115"/>
      <c r="N65" s="54">
        <f t="shared" si="40"/>
        <v>0</v>
      </c>
      <c r="O65" s="54">
        <f t="shared" si="41"/>
        <v>0</v>
      </c>
      <c r="P65" s="1"/>
    </row>
    <row r="66" spans="2:16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54">
        <f>IF(+I14&lt;F65,I14,D66)</f>
        <v>0</v>
      </c>
      <c r="F66" s="55">
        <f t="shared" si="37"/>
        <v>0</v>
      </c>
      <c r="G66" s="355">
        <f t="shared" si="35"/>
        <v>0</v>
      </c>
      <c r="H66" s="336">
        <f t="shared" si="36"/>
        <v>0</v>
      </c>
      <c r="I66" s="52">
        <f t="shared" si="38"/>
        <v>0</v>
      </c>
      <c r="J66" s="52"/>
      <c r="K66" s="115"/>
      <c r="L66" s="54">
        <f t="shared" si="39"/>
        <v>0</v>
      </c>
      <c r="M66" s="115"/>
      <c r="N66" s="54">
        <f t="shared" si="40"/>
        <v>0</v>
      </c>
      <c r="O66" s="54">
        <f t="shared" si="41"/>
        <v>0</v>
      </c>
      <c r="P66" s="1"/>
    </row>
    <row r="67" spans="2:16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54">
        <f>IF(+I14&lt;F66,I14,D67)</f>
        <v>0</v>
      </c>
      <c r="F67" s="55">
        <f t="shared" si="37"/>
        <v>0</v>
      </c>
      <c r="G67" s="355">
        <f t="shared" si="35"/>
        <v>0</v>
      </c>
      <c r="H67" s="336">
        <f t="shared" si="36"/>
        <v>0</v>
      </c>
      <c r="I67" s="52">
        <f t="shared" si="38"/>
        <v>0</v>
      </c>
      <c r="J67" s="52"/>
      <c r="K67" s="115"/>
      <c r="L67" s="54">
        <f t="shared" si="39"/>
        <v>0</v>
      </c>
      <c r="M67" s="115"/>
      <c r="N67" s="54">
        <f t="shared" si="40"/>
        <v>0</v>
      </c>
      <c r="O67" s="54">
        <f t="shared" si="41"/>
        <v>0</v>
      </c>
      <c r="P67" s="1"/>
    </row>
    <row r="68" spans="2:16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54">
        <f>IF(+I14&lt;F67,I14,D68)</f>
        <v>0</v>
      </c>
      <c r="F68" s="55">
        <f t="shared" si="37"/>
        <v>0</v>
      </c>
      <c r="G68" s="355">
        <f t="shared" si="35"/>
        <v>0</v>
      </c>
      <c r="H68" s="336">
        <f t="shared" si="36"/>
        <v>0</v>
      </c>
      <c r="I68" s="52">
        <f t="shared" si="38"/>
        <v>0</v>
      </c>
      <c r="J68" s="52"/>
      <c r="K68" s="115"/>
      <c r="L68" s="54">
        <f t="shared" si="39"/>
        <v>0</v>
      </c>
      <c r="M68" s="115"/>
      <c r="N68" s="54">
        <f t="shared" si="40"/>
        <v>0</v>
      </c>
      <c r="O68" s="54">
        <f t="shared" si="41"/>
        <v>0</v>
      </c>
      <c r="P68" s="1"/>
    </row>
    <row r="69" spans="2:16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54">
        <f>IF(+I14&lt;F68,I14,D69)</f>
        <v>0</v>
      </c>
      <c r="F69" s="55">
        <f t="shared" si="37"/>
        <v>0</v>
      </c>
      <c r="G69" s="355">
        <f t="shared" si="35"/>
        <v>0</v>
      </c>
      <c r="H69" s="336">
        <f t="shared" si="36"/>
        <v>0</v>
      </c>
      <c r="I69" s="52">
        <f t="shared" si="38"/>
        <v>0</v>
      </c>
      <c r="J69" s="52"/>
      <c r="K69" s="115"/>
      <c r="L69" s="54">
        <f t="shared" si="39"/>
        <v>0</v>
      </c>
      <c r="M69" s="115"/>
      <c r="N69" s="54">
        <f t="shared" si="40"/>
        <v>0</v>
      </c>
      <c r="O69" s="54">
        <f t="shared" si="41"/>
        <v>0</v>
      </c>
      <c r="P69" s="1"/>
    </row>
    <row r="70" spans="2:16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54">
        <f>IF(+I14&lt;F69,I14,D70)</f>
        <v>0</v>
      </c>
      <c r="F70" s="55">
        <f t="shared" si="37"/>
        <v>0</v>
      </c>
      <c r="G70" s="355">
        <f t="shared" si="35"/>
        <v>0</v>
      </c>
      <c r="H70" s="336">
        <f t="shared" si="36"/>
        <v>0</v>
      </c>
      <c r="I70" s="52">
        <f t="shared" si="38"/>
        <v>0</v>
      </c>
      <c r="J70" s="52"/>
      <c r="K70" s="115"/>
      <c r="L70" s="54">
        <f t="shared" si="39"/>
        <v>0</v>
      </c>
      <c r="M70" s="115"/>
      <c r="N70" s="54">
        <f t="shared" si="40"/>
        <v>0</v>
      </c>
      <c r="O70" s="54">
        <f t="shared" si="41"/>
        <v>0</v>
      </c>
      <c r="P70" s="1"/>
    </row>
    <row r="71" spans="2:16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54">
        <f>IF(+I14&lt;F70,I14,D71)</f>
        <v>0</v>
      </c>
      <c r="F71" s="55">
        <f t="shared" si="37"/>
        <v>0</v>
      </c>
      <c r="G71" s="355">
        <f t="shared" si="35"/>
        <v>0</v>
      </c>
      <c r="H71" s="336">
        <f t="shared" si="36"/>
        <v>0</v>
      </c>
      <c r="I71" s="52">
        <f t="shared" si="38"/>
        <v>0</v>
      </c>
      <c r="J71" s="52"/>
      <c r="K71" s="115"/>
      <c r="L71" s="54">
        <f t="shared" si="39"/>
        <v>0</v>
      </c>
      <c r="M71" s="115"/>
      <c r="N71" s="54">
        <f t="shared" si="40"/>
        <v>0</v>
      </c>
      <c r="O71" s="54">
        <f t="shared" si="41"/>
        <v>0</v>
      </c>
      <c r="P71" s="1"/>
    </row>
    <row r="72" spans="2:16" ht="13.5" thickBot="1">
      <c r="B72" s="7" t="str">
        <f t="shared" si="6"/>
        <v/>
      </c>
      <c r="C72" s="58">
        <f>IF(D11="","-",+C71+1)</f>
        <v>2064</v>
      </c>
      <c r="D72" s="59">
        <f>IF(F71+SUM(E$17:E71)=D$10,F71,D$10-SUM(E$17:E71))</f>
        <v>0</v>
      </c>
      <c r="E72" s="357">
        <f>IF(+I14&lt;F71,I14,D72)</f>
        <v>0</v>
      </c>
      <c r="F72" s="59">
        <f t="shared" si="37"/>
        <v>0</v>
      </c>
      <c r="G72" s="59">
        <f t="shared" si="35"/>
        <v>0</v>
      </c>
      <c r="H72" s="59">
        <f t="shared" si="36"/>
        <v>0</v>
      </c>
      <c r="I72" s="61">
        <f t="shared" si="38"/>
        <v>0</v>
      </c>
      <c r="J72" s="52"/>
      <c r="K72" s="116"/>
      <c r="L72" s="62">
        <f t="shared" si="39"/>
        <v>0</v>
      </c>
      <c r="M72" s="116"/>
      <c r="N72" s="62">
        <f t="shared" si="40"/>
        <v>0</v>
      </c>
      <c r="O72" s="62">
        <f t="shared" si="41"/>
        <v>0</v>
      </c>
      <c r="P72" s="1"/>
    </row>
    <row r="73" spans="2:16">
      <c r="C73" s="12" t="s">
        <v>77</v>
      </c>
      <c r="D73" s="266"/>
      <c r="E73" s="266">
        <f>SUM(E17:E72)</f>
        <v>4688896</v>
      </c>
      <c r="F73" s="266"/>
      <c r="G73" s="266">
        <f>SUM(G17:G72)</f>
        <v>17203202.715324488</v>
      </c>
      <c r="H73" s="266">
        <f>SUM(H17:H72)</f>
        <v>17203202.715324488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460262.73781694262</v>
      </c>
      <c r="N87" s="364">
        <f>IF(J92&lt;D11,0,VLOOKUP(J92,C17:O72,11))</f>
        <v>460262.73781694262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487084.14794819849</v>
      </c>
      <c r="N88" s="367">
        <f>IF(J92&lt;D11,0,VLOOKUP(J92,C99:P154,7))</f>
        <v>487084.14794819849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Craig Jct. to Broken Bow Dam 138 Rebuild (7.7mi)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26821.410131255863</v>
      </c>
      <c r="N89" s="369">
        <f>+N88-N87</f>
        <v>26821.410131255863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TP2007059</v>
      </c>
      <c r="E91" s="32" t="s">
        <v>373</v>
      </c>
      <c r="F91" s="513">
        <f>F9</f>
        <v>230</v>
      </c>
      <c r="G91" s="74"/>
      <c r="H91" s="74"/>
      <c r="I91" s="74"/>
      <c r="J91" s="74"/>
    </row>
    <row r="92" spans="1:16">
      <c r="C92" s="128" t="s">
        <v>226</v>
      </c>
      <c r="D92" s="335">
        <v>4688896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2009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5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126727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2009</v>
      </c>
      <c r="D99" s="348">
        <v>0</v>
      </c>
      <c r="E99" s="352">
        <v>49223</v>
      </c>
      <c r="F99" s="351">
        <v>4676168</v>
      </c>
      <c r="G99" s="376">
        <v>2338084</v>
      </c>
      <c r="H99" s="377">
        <v>391070</v>
      </c>
      <c r="I99" s="378">
        <v>391070</v>
      </c>
      <c r="J99" s="54">
        <f t="shared" ref="J99:J130" si="42">+I99-H99</f>
        <v>0</v>
      </c>
      <c r="K99" s="54"/>
      <c r="L99" s="350">
        <f t="shared" ref="L99:L104" si="43">H99</f>
        <v>391070</v>
      </c>
      <c r="M99" s="53">
        <f t="shared" ref="M99:M130" si="44">IF(L99&lt;&gt;0,+H99-L99,0)</f>
        <v>0</v>
      </c>
      <c r="N99" s="350">
        <f t="shared" ref="N99:N104" si="45">I99</f>
        <v>391070</v>
      </c>
      <c r="O99" s="53">
        <f t="shared" ref="O99:O130" si="46">IF(N99&lt;&gt;0,+I99-N99,0)</f>
        <v>0</v>
      </c>
      <c r="P99" s="53">
        <f t="shared" ref="P99:P130" si="47">+O99-M99</f>
        <v>0</v>
      </c>
    </row>
    <row r="100" spans="1:16">
      <c r="B100" s="7" t="str">
        <f>IF(D100=F99,"","IU")</f>
        <v>IU</v>
      </c>
      <c r="C100" s="50">
        <f>IF(D93="","-",+C99+1)</f>
        <v>2010</v>
      </c>
      <c r="D100" s="348">
        <v>4639673.1399999997</v>
      </c>
      <c r="E100" s="352">
        <v>91939</v>
      </c>
      <c r="F100" s="351">
        <v>4547734.1399999997</v>
      </c>
      <c r="G100" s="351">
        <v>4593703.6399999997</v>
      </c>
      <c r="H100" s="352">
        <v>830676.46951907186</v>
      </c>
      <c r="I100" s="353">
        <v>830676.46951907186</v>
      </c>
      <c r="J100" s="54">
        <f t="shared" si="42"/>
        <v>0</v>
      </c>
      <c r="K100" s="54"/>
      <c r="L100" s="379">
        <f t="shared" si="43"/>
        <v>830676.46951907186</v>
      </c>
      <c r="M100" s="380">
        <f t="shared" si="44"/>
        <v>0</v>
      </c>
      <c r="N100" s="379">
        <f t="shared" si="45"/>
        <v>830676.46951907186</v>
      </c>
      <c r="O100" s="54">
        <f t="shared" si="46"/>
        <v>0</v>
      </c>
      <c r="P100" s="54">
        <f t="shared" si="47"/>
        <v>0</v>
      </c>
    </row>
    <row r="101" spans="1:16">
      <c r="B101" s="7" t="str">
        <f t="shared" ref="B101:B154" si="48">IF(D101=F100,"","IU")</f>
        <v/>
      </c>
      <c r="C101" s="50">
        <f>IF(D93="","-",+C100+1)</f>
        <v>2011</v>
      </c>
      <c r="D101" s="348">
        <v>4547734.1399999997</v>
      </c>
      <c r="E101" s="352">
        <v>90171</v>
      </c>
      <c r="F101" s="351">
        <v>4457563.1399999997</v>
      </c>
      <c r="G101" s="351">
        <v>4502648.6399999997</v>
      </c>
      <c r="H101" s="352">
        <v>719701.78616364778</v>
      </c>
      <c r="I101" s="353">
        <v>719701.78616364778</v>
      </c>
      <c r="J101" s="54">
        <f t="shared" si="42"/>
        <v>0</v>
      </c>
      <c r="K101" s="54"/>
      <c r="L101" s="379">
        <f t="shared" si="43"/>
        <v>719701.78616364778</v>
      </c>
      <c r="M101" s="380">
        <f t="shared" si="44"/>
        <v>0</v>
      </c>
      <c r="N101" s="379">
        <f t="shared" si="45"/>
        <v>719701.78616364778</v>
      </c>
      <c r="O101" s="54">
        <f t="shared" si="46"/>
        <v>0</v>
      </c>
      <c r="P101" s="54">
        <f t="shared" si="47"/>
        <v>0</v>
      </c>
    </row>
    <row r="102" spans="1:16">
      <c r="B102" s="7" t="str">
        <f t="shared" si="48"/>
        <v/>
      </c>
      <c r="C102" s="50">
        <f>IF(D93="","-",+C101+1)</f>
        <v>2012</v>
      </c>
      <c r="D102" s="348">
        <v>4457563.1399999997</v>
      </c>
      <c r="E102" s="352">
        <v>90171</v>
      </c>
      <c r="F102" s="351">
        <v>4367392.1399999997</v>
      </c>
      <c r="G102" s="351">
        <v>4412477.6399999997</v>
      </c>
      <c r="H102" s="352">
        <v>724930.09682284109</v>
      </c>
      <c r="I102" s="353">
        <v>724930.09682284109</v>
      </c>
      <c r="J102" s="54">
        <v>0</v>
      </c>
      <c r="K102" s="54"/>
      <c r="L102" s="379">
        <f t="shared" si="43"/>
        <v>724930.09682284109</v>
      </c>
      <c r="M102" s="380">
        <f t="shared" ref="M102:M107" si="49">IF(L102&lt;&gt;0,+H102-L102,0)</f>
        <v>0</v>
      </c>
      <c r="N102" s="379">
        <f t="shared" si="45"/>
        <v>724930.09682284109</v>
      </c>
      <c r="O102" s="54">
        <f>IF(N102&lt;&gt;0,+I102-N102,0)</f>
        <v>0</v>
      </c>
      <c r="P102" s="54">
        <f>+O102-M102</f>
        <v>0</v>
      </c>
    </row>
    <row r="103" spans="1:16">
      <c r="B103" s="7" t="str">
        <f t="shared" si="48"/>
        <v/>
      </c>
      <c r="C103" s="50">
        <f>IF(D93="","-",+C102+1)</f>
        <v>2013</v>
      </c>
      <c r="D103" s="348">
        <v>4367392.1399999997</v>
      </c>
      <c r="E103" s="352">
        <v>90171</v>
      </c>
      <c r="F103" s="351">
        <v>4277221.1399999997</v>
      </c>
      <c r="G103" s="351">
        <v>4322306.6399999997</v>
      </c>
      <c r="H103" s="352">
        <v>712322.06264393788</v>
      </c>
      <c r="I103" s="353">
        <v>712322.06264393788</v>
      </c>
      <c r="J103" s="54">
        <v>0</v>
      </c>
      <c r="K103" s="54"/>
      <c r="L103" s="379">
        <f t="shared" si="43"/>
        <v>712322.06264393788</v>
      </c>
      <c r="M103" s="380">
        <f t="shared" si="49"/>
        <v>0</v>
      </c>
      <c r="N103" s="379">
        <f t="shared" si="45"/>
        <v>712322.06264393788</v>
      </c>
      <c r="O103" s="54">
        <f>IF(N103&lt;&gt;0,+I103-N103,0)</f>
        <v>0</v>
      </c>
      <c r="P103" s="54">
        <f>+O103-M103</f>
        <v>0</v>
      </c>
    </row>
    <row r="104" spans="1:16">
      <c r="B104" s="7" t="str">
        <f t="shared" si="48"/>
        <v/>
      </c>
      <c r="C104" s="50">
        <f>IF(D93="","-",+C103+1)</f>
        <v>2014</v>
      </c>
      <c r="D104" s="348">
        <v>4277221.1399999997</v>
      </c>
      <c r="E104" s="352">
        <v>90171</v>
      </c>
      <c r="F104" s="351">
        <v>4187050.1399999997</v>
      </c>
      <c r="G104" s="351">
        <v>4232135.6399999997</v>
      </c>
      <c r="H104" s="352">
        <v>685191.9710405051</v>
      </c>
      <c r="I104" s="353">
        <v>685191.9710405051</v>
      </c>
      <c r="J104" s="54">
        <v>0</v>
      </c>
      <c r="K104" s="54"/>
      <c r="L104" s="379">
        <f t="shared" si="43"/>
        <v>685191.9710405051</v>
      </c>
      <c r="M104" s="380">
        <f t="shared" si="49"/>
        <v>0</v>
      </c>
      <c r="N104" s="379">
        <f t="shared" si="45"/>
        <v>685191.9710405051</v>
      </c>
      <c r="O104" s="54">
        <f>IF(N104&lt;&gt;0,+I104-N104,0)</f>
        <v>0</v>
      </c>
      <c r="P104" s="54">
        <f>+O104-M104</f>
        <v>0</v>
      </c>
    </row>
    <row r="105" spans="1:16">
      <c r="B105" s="7" t="str">
        <f t="shared" si="48"/>
        <v/>
      </c>
      <c r="C105" s="50">
        <f>IF(D93="","-",+C104+1)</f>
        <v>2015</v>
      </c>
      <c r="D105" s="348">
        <v>4187050.1399999997</v>
      </c>
      <c r="E105" s="352">
        <v>90171</v>
      </c>
      <c r="F105" s="351">
        <v>4096879.1399999997</v>
      </c>
      <c r="G105" s="351">
        <v>4141964.6399999997</v>
      </c>
      <c r="H105" s="352">
        <v>655308.7720911433</v>
      </c>
      <c r="I105" s="353">
        <v>655308.7720911433</v>
      </c>
      <c r="J105" s="54">
        <f t="shared" si="42"/>
        <v>0</v>
      </c>
      <c r="K105" s="54"/>
      <c r="L105" s="379">
        <f t="shared" ref="L105:L110" si="50">H105</f>
        <v>655308.7720911433</v>
      </c>
      <c r="M105" s="380">
        <f t="shared" si="49"/>
        <v>0</v>
      </c>
      <c r="N105" s="379">
        <f t="shared" ref="N105:N110" si="51">I105</f>
        <v>655308.7720911433</v>
      </c>
      <c r="O105" s="54">
        <f t="shared" si="46"/>
        <v>0</v>
      </c>
      <c r="P105" s="54">
        <f t="shared" si="47"/>
        <v>0</v>
      </c>
    </row>
    <row r="106" spans="1:16">
      <c r="B106" s="7" t="str">
        <f t="shared" si="48"/>
        <v/>
      </c>
      <c r="C106" s="50">
        <f>IF(D93="","-",+C105+1)</f>
        <v>2016</v>
      </c>
      <c r="D106" s="348">
        <v>4096879.1399999997</v>
      </c>
      <c r="E106" s="352">
        <v>101933</v>
      </c>
      <c r="F106" s="351">
        <v>3994946.1399999997</v>
      </c>
      <c r="G106" s="351">
        <v>4045912.6399999997</v>
      </c>
      <c r="H106" s="352">
        <v>623514.8578657991</v>
      </c>
      <c r="I106" s="353">
        <v>623514.8578657991</v>
      </c>
      <c r="J106" s="54">
        <f t="shared" si="42"/>
        <v>0</v>
      </c>
      <c r="K106" s="54"/>
      <c r="L106" s="379">
        <f t="shared" si="50"/>
        <v>623514.8578657991</v>
      </c>
      <c r="M106" s="380">
        <f t="shared" si="49"/>
        <v>0</v>
      </c>
      <c r="N106" s="379">
        <f t="shared" si="51"/>
        <v>623514.8578657991</v>
      </c>
      <c r="O106" s="54">
        <f>IF(N106&lt;&gt;0,+I106-N106,0)</f>
        <v>0</v>
      </c>
      <c r="P106" s="54">
        <f>+O106-M106</f>
        <v>0</v>
      </c>
    </row>
    <row r="107" spans="1:16">
      <c r="B107" s="7" t="str">
        <f t="shared" si="48"/>
        <v/>
      </c>
      <c r="C107" s="50">
        <f>IF(D93="","-",+C106+1)</f>
        <v>2017</v>
      </c>
      <c r="D107" s="348">
        <v>3994946.1399999997</v>
      </c>
      <c r="E107" s="352">
        <v>101933</v>
      </c>
      <c r="F107" s="351">
        <v>3893013.1399999997</v>
      </c>
      <c r="G107" s="351">
        <v>3943979.6399999997</v>
      </c>
      <c r="H107" s="352">
        <v>602236.76208219538</v>
      </c>
      <c r="I107" s="353">
        <v>602236.76208219538</v>
      </c>
      <c r="J107" s="54">
        <f t="shared" si="42"/>
        <v>0</v>
      </c>
      <c r="K107" s="54"/>
      <c r="L107" s="379">
        <f t="shared" si="50"/>
        <v>602236.76208219538</v>
      </c>
      <c r="M107" s="380">
        <f t="shared" si="49"/>
        <v>0</v>
      </c>
      <c r="N107" s="379">
        <f t="shared" si="51"/>
        <v>602236.76208219538</v>
      </c>
      <c r="O107" s="54">
        <f>IF(N107&lt;&gt;0,+I107-N107,0)</f>
        <v>0</v>
      </c>
      <c r="P107" s="54">
        <f>+O107-M107</f>
        <v>0</v>
      </c>
    </row>
    <row r="108" spans="1:16">
      <c r="B108" s="7" t="str">
        <f t="shared" si="48"/>
        <v/>
      </c>
      <c r="C108" s="50">
        <f>IF(D93="","-",+C107+1)</f>
        <v>2018</v>
      </c>
      <c r="D108" s="348">
        <v>3893013.1399999997</v>
      </c>
      <c r="E108" s="352">
        <v>109044</v>
      </c>
      <c r="F108" s="351">
        <v>3783969.1399999997</v>
      </c>
      <c r="G108" s="351">
        <v>3838491.1399999997</v>
      </c>
      <c r="H108" s="352">
        <v>503393.56302800257</v>
      </c>
      <c r="I108" s="353">
        <v>503393.56302800257</v>
      </c>
      <c r="J108" s="54">
        <f t="shared" si="42"/>
        <v>0</v>
      </c>
      <c r="K108" s="54"/>
      <c r="L108" s="379">
        <f t="shared" si="50"/>
        <v>503393.56302800257</v>
      </c>
      <c r="M108" s="380">
        <f t="shared" ref="M108" si="52">IF(L108&lt;&gt;0,+H108-L108,0)</f>
        <v>0</v>
      </c>
      <c r="N108" s="379">
        <f t="shared" si="51"/>
        <v>503393.56302800257</v>
      </c>
      <c r="O108" s="54">
        <f>IF(N108&lt;&gt;0,+I108-N108,0)</f>
        <v>0</v>
      </c>
      <c r="P108" s="54">
        <f>+O108-M108</f>
        <v>0</v>
      </c>
    </row>
    <row r="109" spans="1:16">
      <c r="B109" s="7" t="str">
        <f t="shared" si="48"/>
        <v/>
      </c>
      <c r="C109" s="50">
        <f>IF(D93="","-",+C108+1)</f>
        <v>2019</v>
      </c>
      <c r="D109" s="348">
        <v>3783969.1399999997</v>
      </c>
      <c r="E109" s="352">
        <v>114363</v>
      </c>
      <c r="F109" s="351">
        <v>3669606.1399999997</v>
      </c>
      <c r="G109" s="351">
        <v>3726787.6399999997</v>
      </c>
      <c r="H109" s="352">
        <v>498647.07790793071</v>
      </c>
      <c r="I109" s="353">
        <v>498647.07790793071</v>
      </c>
      <c r="J109" s="54">
        <f t="shared" si="42"/>
        <v>0</v>
      </c>
      <c r="K109" s="54"/>
      <c r="L109" s="379">
        <f t="shared" si="50"/>
        <v>498647.07790793071</v>
      </c>
      <c r="M109" s="380">
        <f t="shared" ref="M109" si="53">IF(L109&lt;&gt;0,+H109-L109,0)</f>
        <v>0</v>
      </c>
      <c r="N109" s="379">
        <f t="shared" si="51"/>
        <v>498647.07790793071</v>
      </c>
      <c r="O109" s="54">
        <f t="shared" si="46"/>
        <v>0</v>
      </c>
      <c r="P109" s="54">
        <f t="shared" si="47"/>
        <v>0</v>
      </c>
    </row>
    <row r="110" spans="1:16">
      <c r="B110" s="7" t="str">
        <f t="shared" si="48"/>
        <v/>
      </c>
      <c r="C110" s="50">
        <f>IF(D93="","-",+C109+1)</f>
        <v>2020</v>
      </c>
      <c r="D110" s="348">
        <v>3669606.1399999997</v>
      </c>
      <c r="E110" s="352">
        <v>109044</v>
      </c>
      <c r="F110" s="351">
        <v>3560562.1399999997</v>
      </c>
      <c r="G110" s="351">
        <v>3615084.1399999997</v>
      </c>
      <c r="H110" s="352">
        <v>525853.2624876654</v>
      </c>
      <c r="I110" s="353">
        <v>525853.2624876654</v>
      </c>
      <c r="J110" s="54">
        <f t="shared" si="42"/>
        <v>0</v>
      </c>
      <c r="K110" s="54"/>
      <c r="L110" s="379">
        <f t="shared" si="50"/>
        <v>525853.2624876654</v>
      </c>
      <c r="M110" s="380">
        <f t="shared" ref="M110" si="54">IF(L110&lt;&gt;0,+H110-L110,0)</f>
        <v>0</v>
      </c>
      <c r="N110" s="379">
        <f t="shared" si="51"/>
        <v>525853.2624876654</v>
      </c>
      <c r="O110" s="54">
        <f t="shared" si="46"/>
        <v>0</v>
      </c>
      <c r="P110" s="54">
        <f t="shared" si="47"/>
        <v>0</v>
      </c>
    </row>
    <row r="111" spans="1:16">
      <c r="B111" s="7" t="str">
        <f t="shared" si="48"/>
        <v/>
      </c>
      <c r="C111" s="50">
        <f>IF(D93="","-",+C110+1)</f>
        <v>2021</v>
      </c>
      <c r="D111" s="348">
        <v>3560562.1399999997</v>
      </c>
      <c r="E111" s="352">
        <v>114363</v>
      </c>
      <c r="F111" s="351">
        <v>3446199.1399999997</v>
      </c>
      <c r="G111" s="351">
        <v>3503380.6399999997</v>
      </c>
      <c r="H111" s="352">
        <v>513022.46807795716</v>
      </c>
      <c r="I111" s="353">
        <v>513022.46807795716</v>
      </c>
      <c r="J111" s="54">
        <f t="shared" si="42"/>
        <v>0</v>
      </c>
      <c r="K111" s="54"/>
      <c r="L111" s="379">
        <f t="shared" ref="L111" si="55">H111</f>
        <v>513022.46807795716</v>
      </c>
      <c r="M111" s="380">
        <f t="shared" ref="M111" si="56">IF(L111&lt;&gt;0,+H111-L111,0)</f>
        <v>0</v>
      </c>
      <c r="N111" s="379">
        <f t="shared" ref="N111" si="57">I111</f>
        <v>513022.46807795716</v>
      </c>
      <c r="O111" s="54">
        <f t="shared" si="46"/>
        <v>0</v>
      </c>
      <c r="P111" s="54">
        <f t="shared" si="47"/>
        <v>0</v>
      </c>
    </row>
    <row r="112" spans="1:16">
      <c r="B112" s="7" t="str">
        <f t="shared" si="48"/>
        <v>IU</v>
      </c>
      <c r="C112" s="50">
        <f>IF(D93="","-",+C111+1)</f>
        <v>2022</v>
      </c>
      <c r="D112" s="348">
        <v>3446199</v>
      </c>
      <c r="E112" s="352">
        <v>120228</v>
      </c>
      <c r="F112" s="351">
        <v>3325971</v>
      </c>
      <c r="G112" s="351">
        <v>3386085</v>
      </c>
      <c r="H112" s="352">
        <v>493315.82816244458</v>
      </c>
      <c r="I112" s="353">
        <v>493315.82816244458</v>
      </c>
      <c r="J112" s="54">
        <f t="shared" si="42"/>
        <v>0</v>
      </c>
      <c r="K112" s="54"/>
      <c r="L112" s="379">
        <f t="shared" ref="L112" si="58">H112</f>
        <v>493315.82816244458</v>
      </c>
      <c r="M112" s="380">
        <f t="shared" ref="M112" si="59">IF(L112&lt;&gt;0,+H112-L112,0)</f>
        <v>0</v>
      </c>
      <c r="N112" s="379">
        <f t="shared" ref="N112" si="60">I112</f>
        <v>493315.82816244458</v>
      </c>
      <c r="O112" s="54">
        <f t="shared" ref="O112" si="61">IF(N112&lt;&gt;0,+I112-N112,0)</f>
        <v>0</v>
      </c>
      <c r="P112" s="54">
        <f t="shared" ref="P112" si="62">+O112-M112</f>
        <v>0</v>
      </c>
    </row>
    <row r="113" spans="2:16">
      <c r="B113" s="7" t="str">
        <f t="shared" si="48"/>
        <v/>
      </c>
      <c r="C113" s="50">
        <f>IF(D93="","-",+C112+1)</f>
        <v>2023</v>
      </c>
      <c r="D113" s="348">
        <v>3325971</v>
      </c>
      <c r="E113" s="352">
        <v>123392</v>
      </c>
      <c r="F113" s="351">
        <v>3202579</v>
      </c>
      <c r="G113" s="351">
        <v>3264275</v>
      </c>
      <c r="H113" s="352">
        <v>496260.51361260412</v>
      </c>
      <c r="I113" s="353">
        <v>496260.51361260412</v>
      </c>
      <c r="J113" s="54">
        <f t="shared" si="42"/>
        <v>0</v>
      </c>
      <c r="K113" s="54"/>
      <c r="L113" s="379">
        <f t="shared" ref="L113" si="63">H113</f>
        <v>496260.51361260412</v>
      </c>
      <c r="M113" s="380">
        <f t="shared" ref="M113" si="64">IF(L113&lt;&gt;0,+H113-L113,0)</f>
        <v>0</v>
      </c>
      <c r="N113" s="379">
        <f t="shared" ref="N113" si="65">I113</f>
        <v>496260.51361260412</v>
      </c>
      <c r="O113" s="54">
        <f t="shared" ref="O113" si="66">IF(N113&lt;&gt;0,+I113-N113,0)</f>
        <v>0</v>
      </c>
      <c r="P113" s="54">
        <f t="shared" ref="P113" si="67">+O113-M113</f>
        <v>0</v>
      </c>
    </row>
    <row r="114" spans="2:16">
      <c r="B114" s="7" t="str">
        <f t="shared" si="48"/>
        <v/>
      </c>
      <c r="C114" s="50">
        <f>IF(D93="","-",+C113+1)</f>
        <v>2024</v>
      </c>
      <c r="D114" s="348">
        <v>3202579</v>
      </c>
      <c r="E114" s="352">
        <v>126727</v>
      </c>
      <c r="F114" s="351">
        <v>3075852</v>
      </c>
      <c r="G114" s="351">
        <v>3139215.5</v>
      </c>
      <c r="H114" s="352">
        <v>548382.37561033352</v>
      </c>
      <c r="I114" s="353">
        <v>548382.37561033352</v>
      </c>
      <c r="J114" s="54">
        <f t="shared" si="42"/>
        <v>0</v>
      </c>
      <c r="K114" s="54"/>
      <c r="L114" s="379">
        <f t="shared" ref="L114" si="68">H114</f>
        <v>548382.37561033352</v>
      </c>
      <c r="M114" s="380">
        <f t="shared" ref="M114" si="69">IF(L114&lt;&gt;0,+H114-L114,0)</f>
        <v>0</v>
      </c>
      <c r="N114" s="379">
        <f t="shared" ref="N114" si="70">I114</f>
        <v>548382.37561033352</v>
      </c>
      <c r="O114" s="54">
        <f t="shared" ref="O114" si="71">IF(N114&lt;&gt;0,+I114-N114,0)</f>
        <v>0</v>
      </c>
      <c r="P114" s="54">
        <f t="shared" ref="P114" si="72">+O114-M114</f>
        <v>0</v>
      </c>
    </row>
    <row r="115" spans="2:16">
      <c r="B115" s="7" t="str">
        <f t="shared" si="48"/>
        <v/>
      </c>
      <c r="C115" s="50">
        <f>IF(D93="","-",+C114+1)</f>
        <v>2025</v>
      </c>
      <c r="D115" s="12">
        <f>IF(F114+SUM(E$99:E114)=D$92,F114,D$92-SUM(E$99:E114))</f>
        <v>3075852</v>
      </c>
      <c r="E115" s="355">
        <f>IF(+J96&lt;F114,J96,D115)</f>
        <v>126727</v>
      </c>
      <c r="F115" s="55">
        <f t="shared" ref="F115:F130" si="73">+D115-E115</f>
        <v>2949125</v>
      </c>
      <c r="G115" s="55">
        <f t="shared" ref="G115:G130" si="74">+(F115+D115)/2</f>
        <v>3012488.5</v>
      </c>
      <c r="H115" s="355">
        <f t="shared" ref="H115:H154" si="75">(D115+F115)/2*J$94+E115</f>
        <v>487084.14794819849</v>
      </c>
      <c r="I115" s="381">
        <f t="shared" ref="I115:I154" si="76">+J$95*G115+E115</f>
        <v>487084.14794819849</v>
      </c>
      <c r="J115" s="54">
        <f t="shared" si="42"/>
        <v>0</v>
      </c>
      <c r="K115" s="54"/>
      <c r="L115" s="115"/>
      <c r="M115" s="54">
        <f t="shared" si="44"/>
        <v>0</v>
      </c>
      <c r="N115" s="115"/>
      <c r="O115" s="54">
        <f t="shared" si="46"/>
        <v>0</v>
      </c>
      <c r="P115" s="54">
        <f t="shared" si="47"/>
        <v>0</v>
      </c>
    </row>
    <row r="116" spans="2:16">
      <c r="B116" s="7" t="str">
        <f t="shared" si="48"/>
        <v/>
      </c>
      <c r="C116" s="50">
        <f>IF(D93="","-",+C115+1)</f>
        <v>2026</v>
      </c>
      <c r="D116" s="12">
        <f>IF(F115+SUM(E$99:E115)=D$92,F115,D$92-SUM(E$99:E115))</f>
        <v>2949125</v>
      </c>
      <c r="E116" s="355">
        <f>IF(+J96&lt;F115,J96,D116)</f>
        <v>126727</v>
      </c>
      <c r="F116" s="55">
        <f t="shared" si="73"/>
        <v>2822398</v>
      </c>
      <c r="G116" s="55">
        <f t="shared" si="74"/>
        <v>2885761.5</v>
      </c>
      <c r="H116" s="355">
        <f t="shared" si="75"/>
        <v>471924.92649788212</v>
      </c>
      <c r="I116" s="381">
        <f t="shared" si="76"/>
        <v>471924.92649788212</v>
      </c>
      <c r="J116" s="54">
        <f t="shared" si="42"/>
        <v>0</v>
      </c>
      <c r="K116" s="54"/>
      <c r="L116" s="115"/>
      <c r="M116" s="54">
        <f t="shared" si="44"/>
        <v>0</v>
      </c>
      <c r="N116" s="115"/>
      <c r="O116" s="54">
        <f t="shared" si="46"/>
        <v>0</v>
      </c>
      <c r="P116" s="54">
        <f t="shared" si="47"/>
        <v>0</v>
      </c>
    </row>
    <row r="117" spans="2:16">
      <c r="B117" s="7" t="str">
        <f t="shared" si="48"/>
        <v/>
      </c>
      <c r="C117" s="50">
        <f>IF(D93="","-",+C116+1)</f>
        <v>2027</v>
      </c>
      <c r="D117" s="12">
        <f>IF(F116+SUM(E$99:E116)=D$92,F116,D$92-SUM(E$99:E116))</f>
        <v>2822398</v>
      </c>
      <c r="E117" s="355">
        <f>IF(+J96&lt;F116,J96,D117)</f>
        <v>126727</v>
      </c>
      <c r="F117" s="55">
        <f t="shared" si="73"/>
        <v>2695671</v>
      </c>
      <c r="G117" s="55">
        <f t="shared" si="74"/>
        <v>2759034.5</v>
      </c>
      <c r="H117" s="355">
        <f t="shared" si="75"/>
        <v>456765.7050475658</v>
      </c>
      <c r="I117" s="381">
        <f t="shared" si="76"/>
        <v>456765.7050475658</v>
      </c>
      <c r="J117" s="54">
        <f t="shared" si="42"/>
        <v>0</v>
      </c>
      <c r="K117" s="54"/>
      <c r="L117" s="115"/>
      <c r="M117" s="54">
        <f t="shared" si="44"/>
        <v>0</v>
      </c>
      <c r="N117" s="115"/>
      <c r="O117" s="54">
        <f t="shared" si="46"/>
        <v>0</v>
      </c>
      <c r="P117" s="54">
        <f t="shared" si="47"/>
        <v>0</v>
      </c>
    </row>
    <row r="118" spans="2:16">
      <c r="B118" s="7" t="str">
        <f t="shared" si="48"/>
        <v/>
      </c>
      <c r="C118" s="50">
        <f>IF(D93="","-",+C117+1)</f>
        <v>2028</v>
      </c>
      <c r="D118" s="12">
        <f>IF(F117+SUM(E$99:E117)=D$92,F117,D$92-SUM(E$99:E117))</f>
        <v>2695671</v>
      </c>
      <c r="E118" s="355">
        <f>IF(+J96&lt;F117,J96,D118)</f>
        <v>126727</v>
      </c>
      <c r="F118" s="55">
        <f t="shared" si="73"/>
        <v>2568944</v>
      </c>
      <c r="G118" s="55">
        <f t="shared" si="74"/>
        <v>2632307.5</v>
      </c>
      <c r="H118" s="355">
        <f t="shared" si="75"/>
        <v>441606.48359724943</v>
      </c>
      <c r="I118" s="381">
        <f t="shared" si="76"/>
        <v>441606.48359724943</v>
      </c>
      <c r="J118" s="54">
        <f t="shared" si="42"/>
        <v>0</v>
      </c>
      <c r="K118" s="54"/>
      <c r="L118" s="115"/>
      <c r="M118" s="54">
        <f t="shared" si="44"/>
        <v>0</v>
      </c>
      <c r="N118" s="115"/>
      <c r="O118" s="54">
        <f t="shared" si="46"/>
        <v>0</v>
      </c>
      <c r="P118" s="54">
        <f t="shared" si="47"/>
        <v>0</v>
      </c>
    </row>
    <row r="119" spans="2:16">
      <c r="B119" s="7" t="str">
        <f t="shared" si="48"/>
        <v/>
      </c>
      <c r="C119" s="50">
        <f>IF(D93="","-",+C118+1)</f>
        <v>2029</v>
      </c>
      <c r="D119" s="12">
        <f>IF(F118+SUM(E$99:E118)=D$92,F118,D$92-SUM(E$99:E118))</f>
        <v>2568944</v>
      </c>
      <c r="E119" s="355">
        <f>IF(+J96&lt;F118,J96,D119)</f>
        <v>126727</v>
      </c>
      <c r="F119" s="55">
        <f t="shared" si="73"/>
        <v>2442217</v>
      </c>
      <c r="G119" s="55">
        <f t="shared" si="74"/>
        <v>2505580.5</v>
      </c>
      <c r="H119" s="355">
        <f t="shared" si="75"/>
        <v>426447.26214693306</v>
      </c>
      <c r="I119" s="381">
        <f t="shared" si="76"/>
        <v>426447.26214693306</v>
      </c>
      <c r="J119" s="54">
        <f t="shared" si="42"/>
        <v>0</v>
      </c>
      <c r="K119" s="54"/>
      <c r="L119" s="115"/>
      <c r="M119" s="54">
        <f t="shared" si="44"/>
        <v>0</v>
      </c>
      <c r="N119" s="115"/>
      <c r="O119" s="54">
        <f t="shared" si="46"/>
        <v>0</v>
      </c>
      <c r="P119" s="54">
        <f t="shared" si="47"/>
        <v>0</v>
      </c>
    </row>
    <row r="120" spans="2:16">
      <c r="B120" s="7" t="str">
        <f t="shared" si="48"/>
        <v/>
      </c>
      <c r="C120" s="50">
        <f>IF(D93="","-",+C119+1)</f>
        <v>2030</v>
      </c>
      <c r="D120" s="12">
        <f>IF(F119+SUM(E$99:E119)=D$92,F119,D$92-SUM(E$99:E119))</f>
        <v>2442217</v>
      </c>
      <c r="E120" s="355">
        <f>IF(+J96&lt;F119,J96,D120)</f>
        <v>126727</v>
      </c>
      <c r="F120" s="55">
        <f t="shared" si="73"/>
        <v>2315490</v>
      </c>
      <c r="G120" s="55">
        <f t="shared" si="74"/>
        <v>2378853.5</v>
      </c>
      <c r="H120" s="355">
        <f t="shared" si="75"/>
        <v>411288.04069661669</v>
      </c>
      <c r="I120" s="381">
        <f t="shared" si="76"/>
        <v>411288.04069661669</v>
      </c>
      <c r="J120" s="54">
        <f t="shared" si="42"/>
        <v>0</v>
      </c>
      <c r="K120" s="54"/>
      <c r="L120" s="115"/>
      <c r="M120" s="54">
        <f t="shared" si="44"/>
        <v>0</v>
      </c>
      <c r="N120" s="115"/>
      <c r="O120" s="54">
        <f t="shared" si="46"/>
        <v>0</v>
      </c>
      <c r="P120" s="54">
        <f t="shared" si="47"/>
        <v>0</v>
      </c>
    </row>
    <row r="121" spans="2:16">
      <c r="B121" s="7" t="str">
        <f t="shared" si="48"/>
        <v/>
      </c>
      <c r="C121" s="50">
        <f>IF(D93="","-",+C120+1)</f>
        <v>2031</v>
      </c>
      <c r="D121" s="12">
        <f>IF(F120+SUM(E$99:E120)=D$92,F120,D$92-SUM(E$99:E120))</f>
        <v>2315490</v>
      </c>
      <c r="E121" s="355">
        <f>IF(+J96&lt;F120,J96,D121)</f>
        <v>126727</v>
      </c>
      <c r="F121" s="55">
        <f t="shared" si="73"/>
        <v>2188763</v>
      </c>
      <c r="G121" s="55">
        <f t="shared" si="74"/>
        <v>2252126.5</v>
      </c>
      <c r="H121" s="355">
        <f t="shared" si="75"/>
        <v>396128.81924630032</v>
      </c>
      <c r="I121" s="381">
        <f t="shared" si="76"/>
        <v>396128.81924630032</v>
      </c>
      <c r="J121" s="54">
        <f t="shared" si="42"/>
        <v>0</v>
      </c>
      <c r="K121" s="54"/>
      <c r="L121" s="115"/>
      <c r="M121" s="54">
        <f t="shared" si="44"/>
        <v>0</v>
      </c>
      <c r="N121" s="115"/>
      <c r="O121" s="54">
        <f t="shared" si="46"/>
        <v>0</v>
      </c>
      <c r="P121" s="54">
        <f t="shared" si="47"/>
        <v>0</v>
      </c>
    </row>
    <row r="122" spans="2:16">
      <c r="B122" s="7" t="str">
        <f t="shared" si="48"/>
        <v/>
      </c>
      <c r="C122" s="50">
        <f>IF(D93="","-",+C121+1)</f>
        <v>2032</v>
      </c>
      <c r="D122" s="12">
        <f>IF(F121+SUM(E$99:E121)=D$92,F121,D$92-SUM(E$99:E121))</f>
        <v>2188763</v>
      </c>
      <c r="E122" s="355">
        <f>IF(+J96&lt;F121,J96,D122)</f>
        <v>126727</v>
      </c>
      <c r="F122" s="55">
        <f t="shared" si="73"/>
        <v>2062036</v>
      </c>
      <c r="G122" s="55">
        <f t="shared" si="74"/>
        <v>2125399.5</v>
      </c>
      <c r="H122" s="355">
        <f t="shared" si="75"/>
        <v>380969.59779598401</v>
      </c>
      <c r="I122" s="381">
        <f t="shared" si="76"/>
        <v>380969.59779598401</v>
      </c>
      <c r="J122" s="54">
        <f t="shared" si="42"/>
        <v>0</v>
      </c>
      <c r="K122" s="54"/>
      <c r="L122" s="115"/>
      <c r="M122" s="54">
        <f t="shared" si="44"/>
        <v>0</v>
      </c>
      <c r="N122" s="115"/>
      <c r="O122" s="54">
        <f t="shared" si="46"/>
        <v>0</v>
      </c>
      <c r="P122" s="54">
        <f t="shared" si="47"/>
        <v>0</v>
      </c>
    </row>
    <row r="123" spans="2:16">
      <c r="B123" s="7" t="str">
        <f t="shared" si="48"/>
        <v/>
      </c>
      <c r="C123" s="50">
        <f>IF(D93="","-",+C122+1)</f>
        <v>2033</v>
      </c>
      <c r="D123" s="12">
        <f>IF(F122+SUM(E$99:E122)=D$92,F122,D$92-SUM(E$99:E122))</f>
        <v>2062036</v>
      </c>
      <c r="E123" s="355">
        <f>IF(+J96&lt;F122,J96,D123)</f>
        <v>126727</v>
      </c>
      <c r="F123" s="55">
        <f t="shared" si="73"/>
        <v>1935309</v>
      </c>
      <c r="G123" s="55">
        <f t="shared" si="74"/>
        <v>1998672.5</v>
      </c>
      <c r="H123" s="355">
        <f t="shared" si="75"/>
        <v>365810.37634566764</v>
      </c>
      <c r="I123" s="381">
        <f t="shared" si="76"/>
        <v>365810.37634566764</v>
      </c>
      <c r="J123" s="54">
        <f t="shared" si="42"/>
        <v>0</v>
      </c>
      <c r="K123" s="54"/>
      <c r="L123" s="115"/>
      <c r="M123" s="54">
        <f t="shared" si="44"/>
        <v>0</v>
      </c>
      <c r="N123" s="115"/>
      <c r="O123" s="54">
        <f t="shared" si="46"/>
        <v>0</v>
      </c>
      <c r="P123" s="54">
        <f t="shared" si="47"/>
        <v>0</v>
      </c>
    </row>
    <row r="124" spans="2:16">
      <c r="B124" s="7" t="str">
        <f t="shared" si="48"/>
        <v/>
      </c>
      <c r="C124" s="50">
        <f>IF(D93="","-",+C123+1)</f>
        <v>2034</v>
      </c>
      <c r="D124" s="12">
        <f>IF(F123+SUM(E$99:E123)=D$92,F123,D$92-SUM(E$99:E123))</f>
        <v>1935309</v>
      </c>
      <c r="E124" s="355">
        <f>IF(+J96&lt;F123,J96,D124)</f>
        <v>126727</v>
      </c>
      <c r="F124" s="55">
        <f t="shared" si="73"/>
        <v>1808582</v>
      </c>
      <c r="G124" s="55">
        <f t="shared" si="74"/>
        <v>1871945.5</v>
      </c>
      <c r="H124" s="355">
        <f t="shared" si="75"/>
        <v>350651.15489535127</v>
      </c>
      <c r="I124" s="381">
        <f t="shared" si="76"/>
        <v>350651.15489535127</v>
      </c>
      <c r="J124" s="54">
        <f t="shared" si="42"/>
        <v>0</v>
      </c>
      <c r="K124" s="54"/>
      <c r="L124" s="115"/>
      <c r="M124" s="54">
        <f t="shared" si="44"/>
        <v>0</v>
      </c>
      <c r="N124" s="115"/>
      <c r="O124" s="54">
        <f t="shared" si="46"/>
        <v>0</v>
      </c>
      <c r="P124" s="54">
        <f t="shared" si="47"/>
        <v>0</v>
      </c>
    </row>
    <row r="125" spans="2:16">
      <c r="B125" s="7" t="str">
        <f t="shared" si="48"/>
        <v/>
      </c>
      <c r="C125" s="50">
        <f>IF(D93="","-",+C124+1)</f>
        <v>2035</v>
      </c>
      <c r="D125" s="12">
        <f>IF(F124+SUM(E$99:E124)=D$92,F124,D$92-SUM(E$99:E124))</f>
        <v>1808582</v>
      </c>
      <c r="E125" s="355">
        <f>IF(+J96&lt;F124,J96,D125)</f>
        <v>126727</v>
      </c>
      <c r="F125" s="55">
        <f t="shared" si="73"/>
        <v>1681855</v>
      </c>
      <c r="G125" s="55">
        <f t="shared" si="74"/>
        <v>1745218.5</v>
      </c>
      <c r="H125" s="355">
        <f t="shared" si="75"/>
        <v>335491.9334450349</v>
      </c>
      <c r="I125" s="381">
        <f t="shared" si="76"/>
        <v>335491.9334450349</v>
      </c>
      <c r="J125" s="54">
        <f t="shared" si="42"/>
        <v>0</v>
      </c>
      <c r="K125" s="54"/>
      <c r="L125" s="115"/>
      <c r="M125" s="54">
        <f t="shared" si="44"/>
        <v>0</v>
      </c>
      <c r="N125" s="115"/>
      <c r="O125" s="54">
        <f t="shared" si="46"/>
        <v>0</v>
      </c>
      <c r="P125" s="54">
        <f t="shared" si="47"/>
        <v>0</v>
      </c>
    </row>
    <row r="126" spans="2:16">
      <c r="B126" s="7" t="str">
        <f t="shared" si="48"/>
        <v/>
      </c>
      <c r="C126" s="50">
        <f>IF(D93="","-",+C125+1)</f>
        <v>2036</v>
      </c>
      <c r="D126" s="12">
        <f>IF(F125+SUM(E$99:E125)=D$92,F125,D$92-SUM(E$99:E125))</f>
        <v>1681855</v>
      </c>
      <c r="E126" s="355">
        <f>IF(+J96&lt;F125,J96,D126)</f>
        <v>126727</v>
      </c>
      <c r="F126" s="55">
        <f t="shared" si="73"/>
        <v>1555128</v>
      </c>
      <c r="G126" s="55">
        <f t="shared" si="74"/>
        <v>1618491.5</v>
      </c>
      <c r="H126" s="355">
        <f t="shared" si="75"/>
        <v>320332.71199471853</v>
      </c>
      <c r="I126" s="381">
        <f t="shared" si="76"/>
        <v>320332.71199471853</v>
      </c>
      <c r="J126" s="54">
        <f t="shared" si="42"/>
        <v>0</v>
      </c>
      <c r="K126" s="54"/>
      <c r="L126" s="115"/>
      <c r="M126" s="54">
        <f t="shared" si="44"/>
        <v>0</v>
      </c>
      <c r="N126" s="115"/>
      <c r="O126" s="54">
        <f t="shared" si="46"/>
        <v>0</v>
      </c>
      <c r="P126" s="54">
        <f t="shared" si="47"/>
        <v>0</v>
      </c>
    </row>
    <row r="127" spans="2:16">
      <c r="B127" s="7" t="str">
        <f t="shared" si="48"/>
        <v/>
      </c>
      <c r="C127" s="50">
        <f>IF(D93="","-",+C126+1)</f>
        <v>2037</v>
      </c>
      <c r="D127" s="12">
        <f>IF(F126+SUM(E$99:E126)=D$92,F126,D$92-SUM(E$99:E126))</f>
        <v>1555128</v>
      </c>
      <c r="E127" s="355">
        <f>IF(+J96&lt;F126,J96,D127)</f>
        <v>126727</v>
      </c>
      <c r="F127" s="55">
        <f t="shared" si="73"/>
        <v>1428401</v>
      </c>
      <c r="G127" s="55">
        <f t="shared" si="74"/>
        <v>1491764.5</v>
      </c>
      <c r="H127" s="355">
        <f t="shared" si="75"/>
        <v>305173.49054440216</v>
      </c>
      <c r="I127" s="381">
        <f t="shared" si="76"/>
        <v>305173.49054440216</v>
      </c>
      <c r="J127" s="54">
        <f t="shared" si="42"/>
        <v>0</v>
      </c>
      <c r="K127" s="54"/>
      <c r="L127" s="115"/>
      <c r="M127" s="54">
        <f t="shared" si="44"/>
        <v>0</v>
      </c>
      <c r="N127" s="115"/>
      <c r="O127" s="54">
        <f t="shared" si="46"/>
        <v>0</v>
      </c>
      <c r="P127" s="54">
        <f t="shared" si="47"/>
        <v>0</v>
      </c>
    </row>
    <row r="128" spans="2:16">
      <c r="B128" s="7" t="str">
        <f t="shared" si="48"/>
        <v/>
      </c>
      <c r="C128" s="50">
        <f>IF(D93="","-",+C127+1)</f>
        <v>2038</v>
      </c>
      <c r="D128" s="12">
        <f>IF(F127+SUM(E$99:E127)=D$92,F127,D$92-SUM(E$99:E127))</f>
        <v>1428401</v>
      </c>
      <c r="E128" s="355">
        <f>IF(+J96&lt;F127,J96,D128)</f>
        <v>126727</v>
      </c>
      <c r="F128" s="55">
        <f t="shared" si="73"/>
        <v>1301674</v>
      </c>
      <c r="G128" s="55">
        <f t="shared" si="74"/>
        <v>1365037.5</v>
      </c>
      <c r="H128" s="355">
        <f t="shared" si="75"/>
        <v>290014.26909408584</v>
      </c>
      <c r="I128" s="381">
        <f t="shared" si="76"/>
        <v>290014.26909408584</v>
      </c>
      <c r="J128" s="54">
        <f t="shared" si="42"/>
        <v>0</v>
      </c>
      <c r="K128" s="54"/>
      <c r="L128" s="115"/>
      <c r="M128" s="54">
        <f t="shared" si="44"/>
        <v>0</v>
      </c>
      <c r="N128" s="115"/>
      <c r="O128" s="54">
        <f t="shared" si="46"/>
        <v>0</v>
      </c>
      <c r="P128" s="54">
        <f t="shared" si="47"/>
        <v>0</v>
      </c>
    </row>
    <row r="129" spans="2:16">
      <c r="B129" s="7" t="str">
        <f t="shared" si="48"/>
        <v/>
      </c>
      <c r="C129" s="50">
        <f>IF(D93="","-",+C128+1)</f>
        <v>2039</v>
      </c>
      <c r="D129" s="12">
        <f>IF(F128+SUM(E$99:E128)=D$92,F128,D$92-SUM(E$99:E128))</f>
        <v>1301674</v>
      </c>
      <c r="E129" s="355">
        <f>IF(+J96&lt;F128,J96,D129)</f>
        <v>126727</v>
      </c>
      <c r="F129" s="55">
        <f t="shared" si="73"/>
        <v>1174947</v>
      </c>
      <c r="G129" s="55">
        <f t="shared" si="74"/>
        <v>1238310.5</v>
      </c>
      <c r="H129" s="355">
        <f t="shared" si="75"/>
        <v>274855.04764376947</v>
      </c>
      <c r="I129" s="381">
        <f t="shared" si="76"/>
        <v>274855.04764376947</v>
      </c>
      <c r="J129" s="54">
        <f t="shared" si="42"/>
        <v>0</v>
      </c>
      <c r="K129" s="54"/>
      <c r="L129" s="115"/>
      <c r="M129" s="54">
        <f t="shared" si="44"/>
        <v>0</v>
      </c>
      <c r="N129" s="115"/>
      <c r="O129" s="54">
        <f t="shared" si="46"/>
        <v>0</v>
      </c>
      <c r="P129" s="54">
        <f t="shared" si="47"/>
        <v>0</v>
      </c>
    </row>
    <row r="130" spans="2:16">
      <c r="B130" s="7" t="str">
        <f t="shared" si="48"/>
        <v/>
      </c>
      <c r="C130" s="50">
        <f>IF(D93="","-",+C129+1)</f>
        <v>2040</v>
      </c>
      <c r="D130" s="12">
        <f>IF(F129+SUM(E$99:E129)=D$92,F129,D$92-SUM(E$99:E129))</f>
        <v>1174947</v>
      </c>
      <c r="E130" s="355">
        <f>IF(+J96&lt;F129,J96,D130)</f>
        <v>126727</v>
      </c>
      <c r="F130" s="55">
        <f t="shared" si="73"/>
        <v>1048220</v>
      </c>
      <c r="G130" s="55">
        <f t="shared" si="74"/>
        <v>1111583.5</v>
      </c>
      <c r="H130" s="355">
        <f t="shared" si="75"/>
        <v>259695.82619345313</v>
      </c>
      <c r="I130" s="381">
        <f t="shared" si="76"/>
        <v>259695.82619345313</v>
      </c>
      <c r="J130" s="54">
        <f t="shared" si="42"/>
        <v>0</v>
      </c>
      <c r="K130" s="54"/>
      <c r="L130" s="115"/>
      <c r="M130" s="54">
        <f t="shared" si="44"/>
        <v>0</v>
      </c>
      <c r="N130" s="115"/>
      <c r="O130" s="54">
        <f t="shared" si="46"/>
        <v>0</v>
      </c>
      <c r="P130" s="54">
        <f t="shared" si="47"/>
        <v>0</v>
      </c>
    </row>
    <row r="131" spans="2:16">
      <c r="B131" s="7" t="str">
        <f t="shared" si="48"/>
        <v/>
      </c>
      <c r="C131" s="50">
        <f>IF(D93="","-",+C130+1)</f>
        <v>2041</v>
      </c>
      <c r="D131" s="12">
        <f>IF(F130+SUM(E$99:E130)=D$92,F130,D$92-SUM(E$99:E130))</f>
        <v>1048220</v>
      </c>
      <c r="E131" s="355">
        <f>IF(+J96&lt;F130,J96,D131)</f>
        <v>126727</v>
      </c>
      <c r="F131" s="55">
        <f t="shared" ref="F131:F154" si="77">+D131-E131</f>
        <v>921493</v>
      </c>
      <c r="G131" s="55">
        <f t="shared" ref="G131:G154" si="78">+(F131+D131)/2</f>
        <v>984856.5</v>
      </c>
      <c r="H131" s="355">
        <f t="shared" si="75"/>
        <v>244536.60474313676</v>
      </c>
      <c r="I131" s="381">
        <f t="shared" si="76"/>
        <v>244536.60474313676</v>
      </c>
      <c r="J131" s="54">
        <f t="shared" ref="J131:J154" si="79">+I131-H131</f>
        <v>0</v>
      </c>
      <c r="K131" s="54"/>
      <c r="L131" s="115"/>
      <c r="M131" s="54">
        <f t="shared" ref="M131:M154" si="80">IF(L131&lt;&gt;0,+H131-L131,0)</f>
        <v>0</v>
      </c>
      <c r="N131" s="115"/>
      <c r="O131" s="54">
        <f t="shared" ref="O131:O154" si="81">IF(N131&lt;&gt;0,+I131-N131,0)</f>
        <v>0</v>
      </c>
      <c r="P131" s="54">
        <f t="shared" ref="P131:P154" si="82">+O131-M131</f>
        <v>0</v>
      </c>
    </row>
    <row r="132" spans="2:16">
      <c r="B132" s="7" t="str">
        <f t="shared" si="48"/>
        <v/>
      </c>
      <c r="C132" s="50">
        <f>IF(D93="","-",+C131+1)</f>
        <v>2042</v>
      </c>
      <c r="D132" s="12">
        <f>IF(F131+SUM(E$99:E131)=D$92,F131,D$92-SUM(E$99:E131))</f>
        <v>921493</v>
      </c>
      <c r="E132" s="355">
        <f>IF(+J96&lt;F131,J96,D132)</f>
        <v>126727</v>
      </c>
      <c r="F132" s="55">
        <f t="shared" si="77"/>
        <v>794766</v>
      </c>
      <c r="G132" s="55">
        <f t="shared" si="78"/>
        <v>858129.5</v>
      </c>
      <c r="H132" s="355">
        <f t="shared" si="75"/>
        <v>229377.38329282042</v>
      </c>
      <c r="I132" s="381">
        <f t="shared" si="76"/>
        <v>229377.38329282042</v>
      </c>
      <c r="J132" s="54">
        <f t="shared" si="79"/>
        <v>0</v>
      </c>
      <c r="K132" s="54"/>
      <c r="L132" s="115"/>
      <c r="M132" s="54">
        <f t="shared" si="80"/>
        <v>0</v>
      </c>
      <c r="N132" s="115"/>
      <c r="O132" s="54">
        <f t="shared" si="81"/>
        <v>0</v>
      </c>
      <c r="P132" s="54">
        <f t="shared" si="82"/>
        <v>0</v>
      </c>
    </row>
    <row r="133" spans="2:16">
      <c r="B133" s="7" t="str">
        <f t="shared" si="48"/>
        <v/>
      </c>
      <c r="C133" s="50">
        <f>IF(D93="","-",+C132+1)</f>
        <v>2043</v>
      </c>
      <c r="D133" s="12">
        <f>IF(F132+SUM(E$99:E132)=D$92,F132,D$92-SUM(E$99:E132))</f>
        <v>794766</v>
      </c>
      <c r="E133" s="355">
        <f>IF(+J96&lt;F132,J96,D133)</f>
        <v>126727</v>
      </c>
      <c r="F133" s="55">
        <f t="shared" si="77"/>
        <v>668039</v>
      </c>
      <c r="G133" s="55">
        <f t="shared" si="78"/>
        <v>731402.5</v>
      </c>
      <c r="H133" s="355">
        <f t="shared" si="75"/>
        <v>214218.16184250405</v>
      </c>
      <c r="I133" s="381">
        <f t="shared" si="76"/>
        <v>214218.16184250405</v>
      </c>
      <c r="J133" s="54">
        <f t="shared" si="79"/>
        <v>0</v>
      </c>
      <c r="K133" s="54"/>
      <c r="L133" s="115"/>
      <c r="M133" s="54">
        <f t="shared" si="80"/>
        <v>0</v>
      </c>
      <c r="N133" s="115"/>
      <c r="O133" s="54">
        <f t="shared" si="81"/>
        <v>0</v>
      </c>
      <c r="P133" s="54">
        <f t="shared" si="82"/>
        <v>0</v>
      </c>
    </row>
    <row r="134" spans="2:16">
      <c r="B134" s="7" t="str">
        <f t="shared" si="48"/>
        <v/>
      </c>
      <c r="C134" s="50">
        <f>IF(D93="","-",+C133+1)</f>
        <v>2044</v>
      </c>
      <c r="D134" s="12">
        <f>IF(F133+SUM(E$99:E133)=D$92,F133,D$92-SUM(E$99:E133))</f>
        <v>668039</v>
      </c>
      <c r="E134" s="355">
        <f>IF(+J96&lt;F133,J96,D134)</f>
        <v>126727</v>
      </c>
      <c r="F134" s="55">
        <f t="shared" si="77"/>
        <v>541312</v>
      </c>
      <c r="G134" s="55">
        <f t="shared" si="78"/>
        <v>604675.5</v>
      </c>
      <c r="H134" s="355">
        <f t="shared" si="75"/>
        <v>199058.94039218768</v>
      </c>
      <c r="I134" s="381">
        <f t="shared" si="76"/>
        <v>199058.94039218768</v>
      </c>
      <c r="J134" s="54">
        <f t="shared" si="79"/>
        <v>0</v>
      </c>
      <c r="K134" s="54"/>
      <c r="L134" s="115"/>
      <c r="M134" s="54">
        <f t="shared" si="80"/>
        <v>0</v>
      </c>
      <c r="N134" s="115"/>
      <c r="O134" s="54">
        <f t="shared" si="81"/>
        <v>0</v>
      </c>
      <c r="P134" s="54">
        <f t="shared" si="82"/>
        <v>0</v>
      </c>
    </row>
    <row r="135" spans="2:16">
      <c r="B135" s="7" t="str">
        <f t="shared" si="48"/>
        <v/>
      </c>
      <c r="C135" s="50">
        <f>IF(D93="","-",+C134+1)</f>
        <v>2045</v>
      </c>
      <c r="D135" s="12">
        <f>IF(F134+SUM(E$99:E134)=D$92,F134,D$92-SUM(E$99:E134))</f>
        <v>541312</v>
      </c>
      <c r="E135" s="355">
        <f>IF(+J96&lt;F134,J96,D135)</f>
        <v>126727</v>
      </c>
      <c r="F135" s="55">
        <f t="shared" si="77"/>
        <v>414585</v>
      </c>
      <c r="G135" s="55">
        <f t="shared" si="78"/>
        <v>477948.5</v>
      </c>
      <c r="H135" s="355">
        <f t="shared" si="75"/>
        <v>183899.71894187134</v>
      </c>
      <c r="I135" s="381">
        <f t="shared" si="76"/>
        <v>183899.71894187134</v>
      </c>
      <c r="J135" s="54">
        <f t="shared" si="79"/>
        <v>0</v>
      </c>
      <c r="K135" s="54"/>
      <c r="L135" s="115"/>
      <c r="M135" s="54">
        <f t="shared" si="80"/>
        <v>0</v>
      </c>
      <c r="N135" s="115"/>
      <c r="O135" s="54">
        <f t="shared" si="81"/>
        <v>0</v>
      </c>
      <c r="P135" s="54">
        <f t="shared" si="82"/>
        <v>0</v>
      </c>
    </row>
    <row r="136" spans="2:16">
      <c r="B136" s="7" t="str">
        <f t="shared" si="48"/>
        <v/>
      </c>
      <c r="C136" s="50">
        <f>IF(D93="","-",+C135+1)</f>
        <v>2046</v>
      </c>
      <c r="D136" s="12">
        <f>IF(F135+SUM(E$99:E135)=D$92,F135,D$92-SUM(E$99:E135))</f>
        <v>414585</v>
      </c>
      <c r="E136" s="355">
        <f>IF(+J96&lt;F135,J96,D136)</f>
        <v>126727</v>
      </c>
      <c r="F136" s="55">
        <f t="shared" si="77"/>
        <v>287858</v>
      </c>
      <c r="G136" s="55">
        <f t="shared" si="78"/>
        <v>351221.5</v>
      </c>
      <c r="H136" s="355">
        <f t="shared" si="75"/>
        <v>168740.49749155497</v>
      </c>
      <c r="I136" s="381">
        <f t="shared" si="76"/>
        <v>168740.49749155497</v>
      </c>
      <c r="J136" s="54">
        <f t="shared" si="79"/>
        <v>0</v>
      </c>
      <c r="K136" s="54"/>
      <c r="L136" s="115"/>
      <c r="M136" s="54">
        <f t="shared" si="80"/>
        <v>0</v>
      </c>
      <c r="N136" s="115"/>
      <c r="O136" s="54">
        <f t="shared" si="81"/>
        <v>0</v>
      </c>
      <c r="P136" s="54">
        <f t="shared" si="82"/>
        <v>0</v>
      </c>
    </row>
    <row r="137" spans="2:16">
      <c r="B137" s="7" t="str">
        <f t="shared" si="48"/>
        <v/>
      </c>
      <c r="C137" s="50">
        <f>IF(D93="","-",+C136+1)</f>
        <v>2047</v>
      </c>
      <c r="D137" s="12">
        <f>IF(F136+SUM(E$99:E136)=D$92,F136,D$92-SUM(E$99:E136))</f>
        <v>287858</v>
      </c>
      <c r="E137" s="355">
        <f>IF(+J96&lt;F136,J96,D137)</f>
        <v>126727</v>
      </c>
      <c r="F137" s="55">
        <f t="shared" si="77"/>
        <v>161131</v>
      </c>
      <c r="G137" s="55">
        <f t="shared" si="78"/>
        <v>224494.5</v>
      </c>
      <c r="H137" s="355">
        <f t="shared" si="75"/>
        <v>153581.27604123863</v>
      </c>
      <c r="I137" s="381">
        <f t="shared" si="76"/>
        <v>153581.27604123863</v>
      </c>
      <c r="J137" s="54">
        <f t="shared" si="79"/>
        <v>0</v>
      </c>
      <c r="K137" s="54"/>
      <c r="L137" s="115"/>
      <c r="M137" s="54">
        <f t="shared" si="80"/>
        <v>0</v>
      </c>
      <c r="N137" s="115"/>
      <c r="O137" s="54">
        <f t="shared" si="81"/>
        <v>0</v>
      </c>
      <c r="P137" s="54">
        <f t="shared" si="82"/>
        <v>0</v>
      </c>
    </row>
    <row r="138" spans="2:16">
      <c r="B138" s="7" t="str">
        <f t="shared" si="48"/>
        <v/>
      </c>
      <c r="C138" s="50">
        <f>IF(D93="","-",+C137+1)</f>
        <v>2048</v>
      </c>
      <c r="D138" s="12">
        <f>IF(F137+SUM(E$99:E137)=D$92,F137,D$92-SUM(E$99:E137))</f>
        <v>161131</v>
      </c>
      <c r="E138" s="355">
        <f>IF(+J96&lt;F137,J96,D138)</f>
        <v>126727</v>
      </c>
      <c r="F138" s="55">
        <f t="shared" si="77"/>
        <v>34404</v>
      </c>
      <c r="G138" s="55">
        <f t="shared" si="78"/>
        <v>97767.5</v>
      </c>
      <c r="H138" s="355">
        <f t="shared" si="75"/>
        <v>138422.05459092226</v>
      </c>
      <c r="I138" s="381">
        <f t="shared" si="76"/>
        <v>138422.05459092226</v>
      </c>
      <c r="J138" s="54">
        <f t="shared" si="79"/>
        <v>0</v>
      </c>
      <c r="K138" s="54"/>
      <c r="L138" s="115"/>
      <c r="M138" s="54">
        <f t="shared" si="80"/>
        <v>0</v>
      </c>
      <c r="N138" s="115"/>
      <c r="O138" s="54">
        <f t="shared" si="81"/>
        <v>0</v>
      </c>
      <c r="P138" s="54">
        <f t="shared" si="82"/>
        <v>0</v>
      </c>
    </row>
    <row r="139" spans="2:16">
      <c r="B139" s="7" t="str">
        <f t="shared" si="48"/>
        <v/>
      </c>
      <c r="C139" s="50">
        <f>IF(D93="","-",+C138+1)</f>
        <v>2049</v>
      </c>
      <c r="D139" s="12">
        <f>IF(F138+SUM(E$99:E138)=D$92,F138,D$92-SUM(E$99:E138))</f>
        <v>34404</v>
      </c>
      <c r="E139" s="355">
        <f>IF(+J96&lt;F138,J96,D139)</f>
        <v>34404</v>
      </c>
      <c r="F139" s="55">
        <f t="shared" si="77"/>
        <v>0</v>
      </c>
      <c r="G139" s="55">
        <f t="shared" si="78"/>
        <v>17202</v>
      </c>
      <c r="H139" s="355">
        <f t="shared" si="75"/>
        <v>36461.721932882036</v>
      </c>
      <c r="I139" s="381">
        <f t="shared" si="76"/>
        <v>36461.721932882036</v>
      </c>
      <c r="J139" s="54">
        <f t="shared" si="79"/>
        <v>0</v>
      </c>
      <c r="K139" s="54"/>
      <c r="L139" s="115"/>
      <c r="M139" s="54">
        <f t="shared" si="80"/>
        <v>0</v>
      </c>
      <c r="N139" s="115"/>
      <c r="O139" s="54">
        <f t="shared" si="81"/>
        <v>0</v>
      </c>
      <c r="P139" s="54">
        <f t="shared" si="82"/>
        <v>0</v>
      </c>
    </row>
    <row r="140" spans="2:16">
      <c r="B140" s="7" t="str">
        <f t="shared" si="48"/>
        <v/>
      </c>
      <c r="C140" s="50">
        <f>IF(D93="","-",+C139+1)</f>
        <v>2050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7"/>
        <v>0</v>
      </c>
      <c r="G140" s="55">
        <f t="shared" si="78"/>
        <v>0</v>
      </c>
      <c r="H140" s="355">
        <f t="shared" si="75"/>
        <v>0</v>
      </c>
      <c r="I140" s="381">
        <f t="shared" si="76"/>
        <v>0</v>
      </c>
      <c r="J140" s="54">
        <f t="shared" si="79"/>
        <v>0</v>
      </c>
      <c r="K140" s="54"/>
      <c r="L140" s="115"/>
      <c r="M140" s="54">
        <f t="shared" si="80"/>
        <v>0</v>
      </c>
      <c r="N140" s="115"/>
      <c r="O140" s="54">
        <f t="shared" si="81"/>
        <v>0</v>
      </c>
      <c r="P140" s="54">
        <f t="shared" si="82"/>
        <v>0</v>
      </c>
    </row>
    <row r="141" spans="2:16">
      <c r="B141" s="7" t="str">
        <f t="shared" si="48"/>
        <v/>
      </c>
      <c r="C141" s="50">
        <f>IF(D93="","-",+C140+1)</f>
        <v>2051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7"/>
        <v>0</v>
      </c>
      <c r="G141" s="55">
        <f t="shared" si="78"/>
        <v>0</v>
      </c>
      <c r="H141" s="355">
        <f t="shared" si="75"/>
        <v>0</v>
      </c>
      <c r="I141" s="381">
        <f t="shared" si="76"/>
        <v>0</v>
      </c>
      <c r="J141" s="54">
        <f t="shared" si="79"/>
        <v>0</v>
      </c>
      <c r="K141" s="54"/>
      <c r="L141" s="115"/>
      <c r="M141" s="54">
        <f t="shared" si="80"/>
        <v>0</v>
      </c>
      <c r="N141" s="115"/>
      <c r="O141" s="54">
        <f t="shared" si="81"/>
        <v>0</v>
      </c>
      <c r="P141" s="54">
        <f t="shared" si="82"/>
        <v>0</v>
      </c>
    </row>
    <row r="142" spans="2:16">
      <c r="B142" s="7" t="str">
        <f t="shared" si="48"/>
        <v/>
      </c>
      <c r="C142" s="50">
        <f>IF(D93="","-",+C141+1)</f>
        <v>2052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7"/>
        <v>0</v>
      </c>
      <c r="G142" s="55">
        <f t="shared" si="78"/>
        <v>0</v>
      </c>
      <c r="H142" s="355">
        <f t="shared" si="75"/>
        <v>0</v>
      </c>
      <c r="I142" s="381">
        <f t="shared" si="76"/>
        <v>0</v>
      </c>
      <c r="J142" s="54">
        <f t="shared" si="79"/>
        <v>0</v>
      </c>
      <c r="K142" s="54"/>
      <c r="L142" s="115"/>
      <c r="M142" s="54">
        <f t="shared" si="80"/>
        <v>0</v>
      </c>
      <c r="N142" s="115"/>
      <c r="O142" s="54">
        <f t="shared" si="81"/>
        <v>0</v>
      </c>
      <c r="P142" s="54">
        <f t="shared" si="82"/>
        <v>0</v>
      </c>
    </row>
    <row r="143" spans="2:16">
      <c r="B143" s="7" t="str">
        <f t="shared" si="48"/>
        <v/>
      </c>
      <c r="C143" s="50">
        <f>IF(D93="","-",+C142+1)</f>
        <v>2053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7"/>
        <v>0</v>
      </c>
      <c r="G143" s="55">
        <f t="shared" si="78"/>
        <v>0</v>
      </c>
      <c r="H143" s="355">
        <f t="shared" si="75"/>
        <v>0</v>
      </c>
      <c r="I143" s="381">
        <f t="shared" si="76"/>
        <v>0</v>
      </c>
      <c r="J143" s="54">
        <f t="shared" si="79"/>
        <v>0</v>
      </c>
      <c r="K143" s="54"/>
      <c r="L143" s="115"/>
      <c r="M143" s="54">
        <f t="shared" si="80"/>
        <v>0</v>
      </c>
      <c r="N143" s="115"/>
      <c r="O143" s="54">
        <f t="shared" si="81"/>
        <v>0</v>
      </c>
      <c r="P143" s="54">
        <f t="shared" si="82"/>
        <v>0</v>
      </c>
    </row>
    <row r="144" spans="2:16">
      <c r="B144" s="7" t="str">
        <f t="shared" si="48"/>
        <v/>
      </c>
      <c r="C144" s="50">
        <f>IF(D93="","-",+C143+1)</f>
        <v>2054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7"/>
        <v>0</v>
      </c>
      <c r="G144" s="55">
        <f t="shared" si="78"/>
        <v>0</v>
      </c>
      <c r="H144" s="355">
        <f t="shared" si="75"/>
        <v>0</v>
      </c>
      <c r="I144" s="381">
        <f t="shared" si="76"/>
        <v>0</v>
      </c>
      <c r="J144" s="54">
        <f t="shared" si="79"/>
        <v>0</v>
      </c>
      <c r="K144" s="54"/>
      <c r="L144" s="115"/>
      <c r="M144" s="54">
        <f t="shared" si="80"/>
        <v>0</v>
      </c>
      <c r="N144" s="115"/>
      <c r="O144" s="54">
        <f t="shared" si="81"/>
        <v>0</v>
      </c>
      <c r="P144" s="54">
        <f t="shared" si="82"/>
        <v>0</v>
      </c>
    </row>
    <row r="145" spans="2:16">
      <c r="B145" s="7" t="str">
        <f t="shared" si="48"/>
        <v/>
      </c>
      <c r="C145" s="50">
        <f>IF(D93="","-",+C144+1)</f>
        <v>2055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7"/>
        <v>0</v>
      </c>
      <c r="G145" s="55">
        <f t="shared" si="78"/>
        <v>0</v>
      </c>
      <c r="H145" s="355">
        <f t="shared" si="75"/>
        <v>0</v>
      </c>
      <c r="I145" s="381">
        <f t="shared" si="76"/>
        <v>0</v>
      </c>
      <c r="J145" s="54">
        <f t="shared" si="79"/>
        <v>0</v>
      </c>
      <c r="K145" s="54"/>
      <c r="L145" s="115"/>
      <c r="M145" s="54">
        <f t="shared" si="80"/>
        <v>0</v>
      </c>
      <c r="N145" s="115"/>
      <c r="O145" s="54">
        <f t="shared" si="81"/>
        <v>0</v>
      </c>
      <c r="P145" s="54">
        <f t="shared" si="82"/>
        <v>0</v>
      </c>
    </row>
    <row r="146" spans="2:16">
      <c r="B146" s="7" t="str">
        <f t="shared" si="48"/>
        <v/>
      </c>
      <c r="C146" s="50">
        <f>IF(D93="","-",+C145+1)</f>
        <v>2056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7"/>
        <v>0</v>
      </c>
      <c r="G146" s="55">
        <f t="shared" si="78"/>
        <v>0</v>
      </c>
      <c r="H146" s="355">
        <f t="shared" si="75"/>
        <v>0</v>
      </c>
      <c r="I146" s="381">
        <f t="shared" si="76"/>
        <v>0</v>
      </c>
      <c r="J146" s="54">
        <f t="shared" si="79"/>
        <v>0</v>
      </c>
      <c r="K146" s="54"/>
      <c r="L146" s="115"/>
      <c r="M146" s="54">
        <f t="shared" si="80"/>
        <v>0</v>
      </c>
      <c r="N146" s="115"/>
      <c r="O146" s="54">
        <f t="shared" si="81"/>
        <v>0</v>
      </c>
      <c r="P146" s="54">
        <f t="shared" si="82"/>
        <v>0</v>
      </c>
    </row>
    <row r="147" spans="2:16">
      <c r="B147" s="7" t="str">
        <f t="shared" si="48"/>
        <v/>
      </c>
      <c r="C147" s="50">
        <f>IF(D93="","-",+C146+1)</f>
        <v>2057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7"/>
        <v>0</v>
      </c>
      <c r="G147" s="55">
        <f t="shared" si="78"/>
        <v>0</v>
      </c>
      <c r="H147" s="355">
        <f t="shared" si="75"/>
        <v>0</v>
      </c>
      <c r="I147" s="381">
        <f t="shared" si="76"/>
        <v>0</v>
      </c>
      <c r="J147" s="54">
        <f t="shared" si="79"/>
        <v>0</v>
      </c>
      <c r="K147" s="54"/>
      <c r="L147" s="115"/>
      <c r="M147" s="54">
        <f t="shared" si="80"/>
        <v>0</v>
      </c>
      <c r="N147" s="115"/>
      <c r="O147" s="54">
        <f t="shared" si="81"/>
        <v>0</v>
      </c>
      <c r="P147" s="54">
        <f t="shared" si="82"/>
        <v>0</v>
      </c>
    </row>
    <row r="148" spans="2:16">
      <c r="B148" s="7" t="str">
        <f t="shared" si="48"/>
        <v/>
      </c>
      <c r="C148" s="50">
        <f>IF(D93="","-",+C147+1)</f>
        <v>2058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7"/>
        <v>0</v>
      </c>
      <c r="G148" s="55">
        <f t="shared" si="78"/>
        <v>0</v>
      </c>
      <c r="H148" s="355">
        <f t="shared" si="75"/>
        <v>0</v>
      </c>
      <c r="I148" s="381">
        <f t="shared" si="76"/>
        <v>0</v>
      </c>
      <c r="J148" s="54">
        <f t="shared" si="79"/>
        <v>0</v>
      </c>
      <c r="K148" s="54"/>
      <c r="L148" s="115"/>
      <c r="M148" s="54">
        <f t="shared" si="80"/>
        <v>0</v>
      </c>
      <c r="N148" s="115"/>
      <c r="O148" s="54">
        <f t="shared" si="81"/>
        <v>0</v>
      </c>
      <c r="P148" s="54">
        <f t="shared" si="82"/>
        <v>0</v>
      </c>
    </row>
    <row r="149" spans="2:16">
      <c r="B149" s="7" t="str">
        <f t="shared" si="48"/>
        <v/>
      </c>
      <c r="C149" s="50">
        <f>IF(D93="","-",+C148+1)</f>
        <v>2059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7"/>
        <v>0</v>
      </c>
      <c r="G149" s="55">
        <f t="shared" si="78"/>
        <v>0</v>
      </c>
      <c r="H149" s="355">
        <f t="shared" si="75"/>
        <v>0</v>
      </c>
      <c r="I149" s="381">
        <f t="shared" si="76"/>
        <v>0</v>
      </c>
      <c r="J149" s="54">
        <f t="shared" si="79"/>
        <v>0</v>
      </c>
      <c r="K149" s="54"/>
      <c r="L149" s="115"/>
      <c r="M149" s="54">
        <f t="shared" si="80"/>
        <v>0</v>
      </c>
      <c r="N149" s="115"/>
      <c r="O149" s="54">
        <f t="shared" si="81"/>
        <v>0</v>
      </c>
      <c r="P149" s="54">
        <f t="shared" si="82"/>
        <v>0</v>
      </c>
    </row>
    <row r="150" spans="2:16">
      <c r="B150" s="7" t="str">
        <f t="shared" si="48"/>
        <v/>
      </c>
      <c r="C150" s="50">
        <f>IF(D93="","-",+C149+1)</f>
        <v>2060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7"/>
        <v>0</v>
      </c>
      <c r="G150" s="55">
        <f t="shared" si="78"/>
        <v>0</v>
      </c>
      <c r="H150" s="355">
        <f t="shared" si="75"/>
        <v>0</v>
      </c>
      <c r="I150" s="381">
        <f t="shared" si="76"/>
        <v>0</v>
      </c>
      <c r="J150" s="54">
        <f t="shared" si="79"/>
        <v>0</v>
      </c>
      <c r="K150" s="54"/>
      <c r="L150" s="115"/>
      <c r="M150" s="54">
        <f t="shared" si="80"/>
        <v>0</v>
      </c>
      <c r="N150" s="115"/>
      <c r="O150" s="54">
        <f t="shared" si="81"/>
        <v>0</v>
      </c>
      <c r="P150" s="54">
        <f t="shared" si="82"/>
        <v>0</v>
      </c>
    </row>
    <row r="151" spans="2:16">
      <c r="B151" s="7" t="str">
        <f t="shared" si="48"/>
        <v/>
      </c>
      <c r="C151" s="50">
        <f>IF(D93="","-",+C150+1)</f>
        <v>2061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7"/>
        <v>0</v>
      </c>
      <c r="G151" s="55">
        <f t="shared" si="78"/>
        <v>0</v>
      </c>
      <c r="H151" s="355">
        <f t="shared" si="75"/>
        <v>0</v>
      </c>
      <c r="I151" s="381">
        <f t="shared" si="76"/>
        <v>0</v>
      </c>
      <c r="J151" s="54">
        <f t="shared" si="79"/>
        <v>0</v>
      </c>
      <c r="K151" s="54"/>
      <c r="L151" s="115"/>
      <c r="M151" s="54">
        <f t="shared" si="80"/>
        <v>0</v>
      </c>
      <c r="N151" s="115"/>
      <c r="O151" s="54">
        <f t="shared" si="81"/>
        <v>0</v>
      </c>
      <c r="P151" s="54">
        <f t="shared" si="82"/>
        <v>0</v>
      </c>
    </row>
    <row r="152" spans="2:16">
      <c r="B152" s="7" t="str">
        <f t="shared" si="48"/>
        <v/>
      </c>
      <c r="C152" s="50">
        <f>IF(D93="","-",+C151+1)</f>
        <v>2062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7"/>
        <v>0</v>
      </c>
      <c r="G152" s="55">
        <f t="shared" si="78"/>
        <v>0</v>
      </c>
      <c r="H152" s="355">
        <f t="shared" si="75"/>
        <v>0</v>
      </c>
      <c r="I152" s="381">
        <f t="shared" si="76"/>
        <v>0</v>
      </c>
      <c r="J152" s="54">
        <f t="shared" si="79"/>
        <v>0</v>
      </c>
      <c r="K152" s="54"/>
      <c r="L152" s="115"/>
      <c r="M152" s="54">
        <f t="shared" si="80"/>
        <v>0</v>
      </c>
      <c r="N152" s="115"/>
      <c r="O152" s="54">
        <f t="shared" si="81"/>
        <v>0</v>
      </c>
      <c r="P152" s="54">
        <f t="shared" si="82"/>
        <v>0</v>
      </c>
    </row>
    <row r="153" spans="2:16">
      <c r="B153" s="7" t="str">
        <f t="shared" si="48"/>
        <v/>
      </c>
      <c r="C153" s="50">
        <f>IF(D93="","-",+C152+1)</f>
        <v>2063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7"/>
        <v>0</v>
      </c>
      <c r="G153" s="55">
        <f t="shared" si="78"/>
        <v>0</v>
      </c>
      <c r="H153" s="355">
        <f t="shared" si="75"/>
        <v>0</v>
      </c>
      <c r="I153" s="381">
        <f t="shared" si="76"/>
        <v>0</v>
      </c>
      <c r="J153" s="54">
        <f t="shared" si="79"/>
        <v>0</v>
      </c>
      <c r="K153" s="54"/>
      <c r="L153" s="115"/>
      <c r="M153" s="54">
        <f t="shared" si="80"/>
        <v>0</v>
      </c>
      <c r="N153" s="115"/>
      <c r="O153" s="54">
        <f t="shared" si="81"/>
        <v>0</v>
      </c>
      <c r="P153" s="54">
        <f t="shared" si="82"/>
        <v>0</v>
      </c>
    </row>
    <row r="154" spans="2:16" ht="13.5" thickBot="1">
      <c r="B154" s="7" t="str">
        <f t="shared" si="48"/>
        <v/>
      </c>
      <c r="C154" s="58">
        <f>IF(D93="","-",+C153+1)</f>
        <v>2064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7"/>
        <v>0</v>
      </c>
      <c r="G154" s="59">
        <f t="shared" si="78"/>
        <v>0</v>
      </c>
      <c r="H154" s="59">
        <f t="shared" si="75"/>
        <v>0</v>
      </c>
      <c r="I154" s="383">
        <f t="shared" si="76"/>
        <v>0</v>
      </c>
      <c r="J154" s="62">
        <f t="shared" si="79"/>
        <v>0</v>
      </c>
      <c r="K154" s="54"/>
      <c r="L154" s="116"/>
      <c r="M154" s="62">
        <f t="shared" si="80"/>
        <v>0</v>
      </c>
      <c r="N154" s="116"/>
      <c r="O154" s="62">
        <f t="shared" si="81"/>
        <v>0</v>
      </c>
      <c r="P154" s="62">
        <f t="shared" si="82"/>
        <v>0</v>
      </c>
    </row>
    <row r="155" spans="2:16">
      <c r="C155" s="12" t="s">
        <v>77</v>
      </c>
      <c r="D155" s="266"/>
      <c r="E155" s="266">
        <f>SUM(E99:E154)</f>
        <v>4688896</v>
      </c>
      <c r="F155" s="266"/>
      <c r="G155" s="266"/>
      <c r="H155" s="266">
        <f>SUM(H99:H154)</f>
        <v>17066364.019518409</v>
      </c>
      <c r="I155" s="266">
        <f>SUM(I99:I154)</f>
        <v>17066364.019518409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 t="s">
        <v>100</v>
      </c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30" t="s">
        <v>107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78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 t="s">
        <v>79</v>
      </c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71" priority="1" stopIfTrue="1" operator="equal">
      <formula>$I$10</formula>
    </cfRule>
  </conditionalFormatting>
  <conditionalFormatting sqref="C99:C154">
    <cfRule type="cellIs" dxfId="70" priority="2" stopIfTrue="1" operator="equal">
      <formula>$J$92</formula>
    </cfRule>
  </conditionalFormatting>
  <pageMargins left="0.5" right="0.25" top="1" bottom="0.25" header="0.25" footer="0.5"/>
  <pageSetup scale="47" fitToHeight="0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P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3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1133371.9478055129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1133371.9478055129</v>
      </c>
      <c r="O6" s="1"/>
      <c r="P6" s="1"/>
    </row>
    <row r="7" spans="1:16" ht="13.5" thickBot="1">
      <c r="C7" s="26" t="s">
        <v>46</v>
      </c>
      <c r="D7" s="331" t="s">
        <v>208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81</v>
      </c>
      <c r="E9" s="32" t="s">
        <v>373</v>
      </c>
      <c r="F9" s="32" t="s">
        <v>374</v>
      </c>
      <c r="G9" s="32"/>
      <c r="H9" s="32"/>
      <c r="I9" s="33"/>
      <c r="J9" s="34"/>
      <c r="P9" s="1"/>
    </row>
    <row r="10" spans="1:16">
      <c r="C10" s="128" t="s">
        <v>226</v>
      </c>
      <c r="D10" s="335">
        <v>11456065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2009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10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301475.39473684208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C17" s="50">
        <f>IF(D11= "","-",D11)</f>
        <v>2009</v>
      </c>
      <c r="D17" s="348">
        <v>9403820</v>
      </c>
      <c r="E17" s="349">
        <v>29572</v>
      </c>
      <c r="F17" s="348">
        <v>9374248</v>
      </c>
      <c r="G17" s="349">
        <v>388620</v>
      </c>
      <c r="H17" s="349">
        <v>388620</v>
      </c>
      <c r="I17" s="52">
        <f t="shared" ref="I17:I48" si="0">H17-G17</f>
        <v>0</v>
      </c>
      <c r="J17" s="52"/>
      <c r="K17" s="350">
        <v>388620</v>
      </c>
      <c r="L17" s="53">
        <f t="shared" ref="L17:L48" si="1">IF(K17&lt;&gt;0,+G17-K17,0)</f>
        <v>0</v>
      </c>
      <c r="M17" s="350">
        <v>388620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2010</v>
      </c>
      <c r="D18" s="351">
        <v>12236959</v>
      </c>
      <c r="E18" s="352">
        <v>219045</v>
      </c>
      <c r="F18" s="351">
        <v>12017913</v>
      </c>
      <c r="G18" s="352">
        <v>1953188</v>
      </c>
      <c r="H18" s="353">
        <v>1953188</v>
      </c>
      <c r="I18" s="52">
        <f t="shared" si="0"/>
        <v>0</v>
      </c>
      <c r="J18" s="52"/>
      <c r="K18" s="350">
        <f t="shared" ref="K18:K23" si="4">G18</f>
        <v>1953188</v>
      </c>
      <c r="L18" s="54">
        <f t="shared" si="1"/>
        <v>0</v>
      </c>
      <c r="M18" s="350">
        <f t="shared" ref="M18:M23" si="5">H18</f>
        <v>1953188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2011</v>
      </c>
      <c r="D19" s="351">
        <v>11983531</v>
      </c>
      <c r="E19" s="352">
        <v>239846.03921568627</v>
      </c>
      <c r="F19" s="351">
        <v>11743684.960784314</v>
      </c>
      <c r="G19" s="352">
        <v>2078241.729976739</v>
      </c>
      <c r="H19" s="353">
        <v>2078241.729976739</v>
      </c>
      <c r="I19" s="52">
        <f t="shared" si="0"/>
        <v>0</v>
      </c>
      <c r="J19" s="52"/>
      <c r="K19" s="350">
        <f t="shared" si="4"/>
        <v>2078241.729976739</v>
      </c>
      <c r="L19" s="54">
        <f t="shared" si="1"/>
        <v>0</v>
      </c>
      <c r="M19" s="350">
        <f t="shared" si="5"/>
        <v>2078241.729976739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2012</v>
      </c>
      <c r="D20" s="351">
        <v>11743684.960784314</v>
      </c>
      <c r="E20" s="352">
        <v>235233.61538461538</v>
      </c>
      <c r="F20" s="351">
        <v>11508451.345399698</v>
      </c>
      <c r="G20" s="352">
        <v>1837287.5395832672</v>
      </c>
      <c r="H20" s="353">
        <v>1837287.5395832672</v>
      </c>
      <c r="I20" s="52">
        <f t="shared" si="0"/>
        <v>0</v>
      </c>
      <c r="J20" s="52"/>
      <c r="K20" s="350">
        <f t="shared" si="4"/>
        <v>1837287.5395832672</v>
      </c>
      <c r="L20" s="54">
        <f t="shared" si="1"/>
        <v>0</v>
      </c>
      <c r="M20" s="350">
        <f t="shared" si="5"/>
        <v>1837287.5395832672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2013</v>
      </c>
      <c r="D21" s="351">
        <v>11508451.345399698</v>
      </c>
      <c r="E21" s="352">
        <v>235233.61538461538</v>
      </c>
      <c r="F21" s="351">
        <v>11273217.730015082</v>
      </c>
      <c r="G21" s="352">
        <v>1845125.3182548014</v>
      </c>
      <c r="H21" s="353">
        <v>1845125.3182548014</v>
      </c>
      <c r="I21" s="52">
        <v>0</v>
      </c>
      <c r="J21" s="52"/>
      <c r="K21" s="350">
        <f t="shared" si="4"/>
        <v>1845125.3182548014</v>
      </c>
      <c r="L21" s="54">
        <f t="shared" ref="L21:L26" si="7">IF(K21&lt;&gt;0,+G21-K21,0)</f>
        <v>0</v>
      </c>
      <c r="M21" s="350">
        <f t="shared" si="5"/>
        <v>1845125.3182548014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>
      <c r="B22" s="7" t="str">
        <f t="shared" si="6"/>
        <v/>
      </c>
      <c r="C22" s="50">
        <f>IF(D11="","-",+C21+1)</f>
        <v>2014</v>
      </c>
      <c r="D22" s="351">
        <v>11273217.730015082</v>
      </c>
      <c r="E22" s="352">
        <v>235233.61538461538</v>
      </c>
      <c r="F22" s="351">
        <v>11037984.114630466</v>
      </c>
      <c r="G22" s="352">
        <v>1754708.9063952654</v>
      </c>
      <c r="H22" s="353">
        <v>1754708.9063952654</v>
      </c>
      <c r="I22" s="52">
        <v>0</v>
      </c>
      <c r="J22" s="52"/>
      <c r="K22" s="350">
        <f t="shared" si="4"/>
        <v>1754708.9063952654</v>
      </c>
      <c r="L22" s="54">
        <f t="shared" si="7"/>
        <v>0</v>
      </c>
      <c r="M22" s="350">
        <f t="shared" si="5"/>
        <v>1754708.9063952654</v>
      </c>
      <c r="N22" s="54">
        <f t="shared" si="8"/>
        <v>0</v>
      </c>
      <c r="O22" s="54">
        <f t="shared" si="9"/>
        <v>0</v>
      </c>
      <c r="P22" s="1"/>
    </row>
    <row r="23" spans="2:16">
      <c r="B23" s="7" t="str">
        <f t="shared" si="6"/>
        <v>IU</v>
      </c>
      <c r="C23" s="50">
        <f>IF(D11="","-",+C22+1)</f>
        <v>2015</v>
      </c>
      <c r="D23" s="351">
        <v>10261901.114630468</v>
      </c>
      <c r="E23" s="352">
        <v>220308.94230769231</v>
      </c>
      <c r="F23" s="351">
        <v>10041592.172322776</v>
      </c>
      <c r="G23" s="352">
        <v>1604759.8916783908</v>
      </c>
      <c r="H23" s="353">
        <v>1604759.8916783908</v>
      </c>
      <c r="I23" s="52">
        <v>0</v>
      </c>
      <c r="J23" s="52"/>
      <c r="K23" s="350">
        <f t="shared" si="4"/>
        <v>1604759.8916783908</v>
      </c>
      <c r="L23" s="54">
        <f t="shared" si="7"/>
        <v>0</v>
      </c>
      <c r="M23" s="350">
        <f t="shared" si="5"/>
        <v>1604759.8916783908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2016</v>
      </c>
      <c r="D24" s="351">
        <v>10041592.172322776</v>
      </c>
      <c r="E24" s="352">
        <v>220308.94230769231</v>
      </c>
      <c r="F24" s="351">
        <v>9821283.2300150841</v>
      </c>
      <c r="G24" s="352">
        <v>1508464.8564289983</v>
      </c>
      <c r="H24" s="353">
        <v>1508464.8564289983</v>
      </c>
      <c r="I24" s="52">
        <f t="shared" si="0"/>
        <v>0</v>
      </c>
      <c r="J24" s="52"/>
      <c r="K24" s="350">
        <f t="shared" ref="K24:K29" si="10">G24</f>
        <v>1508464.8564289983</v>
      </c>
      <c r="L24" s="54">
        <f t="shared" si="7"/>
        <v>0</v>
      </c>
      <c r="M24" s="350">
        <f t="shared" ref="M24:M29" si="11">H24</f>
        <v>1508464.8564289983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2017</v>
      </c>
      <c r="D25" s="351">
        <v>9821283.2300150841</v>
      </c>
      <c r="E25" s="352">
        <v>249044.89130434784</v>
      </c>
      <c r="F25" s="351">
        <v>9572238.3387107365</v>
      </c>
      <c r="G25" s="352">
        <v>1467214.2093174371</v>
      </c>
      <c r="H25" s="353">
        <v>1467214.2093174371</v>
      </c>
      <c r="I25" s="52">
        <f t="shared" si="0"/>
        <v>0</v>
      </c>
      <c r="J25" s="52"/>
      <c r="K25" s="350">
        <f t="shared" si="10"/>
        <v>1467214.2093174371</v>
      </c>
      <c r="L25" s="54">
        <f t="shared" si="7"/>
        <v>0</v>
      </c>
      <c r="M25" s="350">
        <f t="shared" si="11"/>
        <v>1467214.2093174371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2018</v>
      </c>
      <c r="D26" s="351">
        <v>9572238.3387107365</v>
      </c>
      <c r="E26" s="352">
        <v>254579.22222222222</v>
      </c>
      <c r="F26" s="351">
        <v>9317659.1164885145</v>
      </c>
      <c r="G26" s="352">
        <v>1385696.2768787597</v>
      </c>
      <c r="H26" s="353">
        <v>1385696.2768787597</v>
      </c>
      <c r="I26" s="52">
        <f t="shared" si="0"/>
        <v>0</v>
      </c>
      <c r="J26" s="52"/>
      <c r="K26" s="350">
        <f t="shared" si="10"/>
        <v>1385696.2768787597</v>
      </c>
      <c r="L26" s="54">
        <f t="shared" si="7"/>
        <v>0</v>
      </c>
      <c r="M26" s="350">
        <f t="shared" si="11"/>
        <v>1385696.2768787597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2019</v>
      </c>
      <c r="D27" s="351">
        <v>9317659.1164885145</v>
      </c>
      <c r="E27" s="352">
        <v>286401.625</v>
      </c>
      <c r="F27" s="351">
        <v>9031257.4914885145</v>
      </c>
      <c r="G27" s="352">
        <v>1310790.7332032048</v>
      </c>
      <c r="H27" s="353">
        <v>1310790.7332032048</v>
      </c>
      <c r="I27" s="52">
        <f t="shared" si="0"/>
        <v>0</v>
      </c>
      <c r="J27" s="52"/>
      <c r="K27" s="350">
        <f t="shared" si="10"/>
        <v>1310790.7332032048</v>
      </c>
      <c r="L27" s="54">
        <f t="shared" ref="L27" si="12">IF(K27&lt;&gt;0,+G27-K27,0)</f>
        <v>0</v>
      </c>
      <c r="M27" s="350">
        <f t="shared" si="11"/>
        <v>1310790.7332032048</v>
      </c>
      <c r="N27" s="54">
        <f t="shared" ref="N27" si="13">IF(M27&lt;&gt;0,+H27-M27,0)</f>
        <v>0</v>
      </c>
      <c r="O27" s="54">
        <f t="shared" ref="O27" si="14">+N27-L27</f>
        <v>0</v>
      </c>
      <c r="P27" s="1"/>
    </row>
    <row r="28" spans="2:16">
      <c r="B28" s="7" t="str">
        <f t="shared" si="6"/>
        <v>IU</v>
      </c>
      <c r="C28" s="50">
        <f>IF(D11="","-",+C27+1)</f>
        <v>2020</v>
      </c>
      <c r="D28" s="351">
        <v>9012688</v>
      </c>
      <c r="E28" s="352">
        <v>272763.45238095237</v>
      </c>
      <c r="F28" s="351">
        <v>8739924.5476190485</v>
      </c>
      <c r="G28" s="352">
        <v>1231446.9312681679</v>
      </c>
      <c r="H28" s="353">
        <v>1231446.9312681679</v>
      </c>
      <c r="I28" s="52">
        <f t="shared" si="0"/>
        <v>0</v>
      </c>
      <c r="J28" s="52"/>
      <c r="K28" s="350">
        <f t="shared" si="10"/>
        <v>1231446.9312681679</v>
      </c>
      <c r="L28" s="54">
        <f t="shared" ref="L28" si="15">IF(K28&lt;&gt;0,+G28-K28,0)</f>
        <v>0</v>
      </c>
      <c r="M28" s="350">
        <f t="shared" si="11"/>
        <v>1231446.9312681679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>IU</v>
      </c>
      <c r="C29" s="50">
        <f>IF(D11="","-",+C28+1)</f>
        <v>2021</v>
      </c>
      <c r="D29" s="351">
        <v>8758494.0391075611</v>
      </c>
      <c r="E29" s="352">
        <v>266420.11627906974</v>
      </c>
      <c r="F29" s="351">
        <v>8492073.9228284918</v>
      </c>
      <c r="G29" s="352">
        <v>1182049.5546801805</v>
      </c>
      <c r="H29" s="353">
        <v>1182049.5546801805</v>
      </c>
      <c r="I29" s="52">
        <f t="shared" si="0"/>
        <v>0</v>
      </c>
      <c r="J29" s="52"/>
      <c r="K29" s="350">
        <f t="shared" si="10"/>
        <v>1182049.5546801805</v>
      </c>
      <c r="L29" s="54">
        <f t="shared" ref="L29" si="16">IF(K29&lt;&gt;0,+G29-K29,0)</f>
        <v>0</v>
      </c>
      <c r="M29" s="350">
        <f t="shared" si="11"/>
        <v>1182049.5546801805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/>
      </c>
      <c r="C30" s="50">
        <f>IF(D11="","-",+C29+1)</f>
        <v>2022</v>
      </c>
      <c r="D30" s="351">
        <v>8492073.9228284918</v>
      </c>
      <c r="E30" s="352">
        <v>272763.45238095237</v>
      </c>
      <c r="F30" s="351">
        <v>8219310.4704475394</v>
      </c>
      <c r="G30" s="352">
        <v>1158897.5538764906</v>
      </c>
      <c r="H30" s="353">
        <v>1158897.5538764906</v>
      </c>
      <c r="I30" s="52">
        <f t="shared" si="0"/>
        <v>0</v>
      </c>
      <c r="J30" s="52"/>
      <c r="K30" s="350">
        <f t="shared" ref="K30" si="17">G30</f>
        <v>1158897.5538764906</v>
      </c>
      <c r="L30" s="54">
        <f t="shared" ref="L30" si="18">IF(K30&lt;&gt;0,+G30-K30,0)</f>
        <v>0</v>
      </c>
      <c r="M30" s="350">
        <f t="shared" ref="M30" si="19">H30</f>
        <v>1158897.5538764906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/>
      </c>
      <c r="C31" s="50">
        <f>IF(D11="","-",+C30+1)</f>
        <v>2023</v>
      </c>
      <c r="D31" s="351">
        <v>8219310.4704475394</v>
      </c>
      <c r="E31" s="352">
        <v>293745.25641025644</v>
      </c>
      <c r="F31" s="351">
        <v>7925565.2140372833</v>
      </c>
      <c r="G31" s="352">
        <v>1239732.4037197519</v>
      </c>
      <c r="H31" s="353">
        <v>1239732.4037197519</v>
      </c>
      <c r="I31" s="52">
        <f t="shared" si="0"/>
        <v>0</v>
      </c>
      <c r="J31" s="52"/>
      <c r="K31" s="350">
        <f t="shared" ref="K31" si="20">G31</f>
        <v>1239732.4037197519</v>
      </c>
      <c r="L31" s="54">
        <f t="shared" ref="L31" si="21">IF(K31&lt;&gt;0,+G31-K31,0)</f>
        <v>0</v>
      </c>
      <c r="M31" s="350">
        <f t="shared" ref="M31" si="22">H31</f>
        <v>1239732.4037197519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2024</v>
      </c>
      <c r="D32" s="351">
        <v>7925565.2140372833</v>
      </c>
      <c r="E32" s="352">
        <v>301475.39473684208</v>
      </c>
      <c r="F32" s="351">
        <v>7624089.8193004411</v>
      </c>
      <c r="G32" s="352">
        <v>1168640.8009077092</v>
      </c>
      <c r="H32" s="353">
        <v>1168640.8009077092</v>
      </c>
      <c r="I32" s="52">
        <f t="shared" si="0"/>
        <v>0</v>
      </c>
      <c r="J32" s="52"/>
      <c r="K32" s="350">
        <f t="shared" ref="K32" si="23">G32</f>
        <v>1168640.8009077092</v>
      </c>
      <c r="L32" s="54">
        <f t="shared" ref="L32" si="24">IF(K32&lt;&gt;0,+G32-K32,0)</f>
        <v>0</v>
      </c>
      <c r="M32" s="350">
        <f t="shared" ref="M32" si="25">H32</f>
        <v>1168640.8009077092</v>
      </c>
      <c r="N32" s="54">
        <f t="shared" ref="N32" si="26">IF(M32&lt;&gt;0,+H32-M32,0)</f>
        <v>0</v>
      </c>
      <c r="O32" s="54">
        <f t="shared" ref="O32" si="27">+N32-L32</f>
        <v>0</v>
      </c>
      <c r="P32" s="1"/>
    </row>
    <row r="33" spans="2:16">
      <c r="B33" s="7" t="str">
        <f t="shared" si="6"/>
        <v/>
      </c>
      <c r="C33" s="50">
        <f>IF(D11="","-",+C32+1)</f>
        <v>2025</v>
      </c>
      <c r="D33" s="351">
        <v>7624089.8193004411</v>
      </c>
      <c r="E33" s="352">
        <v>301475.39473684208</v>
      </c>
      <c r="F33" s="351">
        <v>7322614.4245635988</v>
      </c>
      <c r="G33" s="352">
        <v>1133371.9478055129</v>
      </c>
      <c r="H33" s="353">
        <v>1133371.9478055129</v>
      </c>
      <c r="I33" s="52">
        <f t="shared" si="0"/>
        <v>0</v>
      </c>
      <c r="J33" s="52"/>
      <c r="K33" s="350">
        <f t="shared" ref="K33" si="28">G33</f>
        <v>1133371.9478055129</v>
      </c>
      <c r="L33" s="54">
        <f t="shared" ref="L33" si="29">IF(K33&lt;&gt;0,+G33-K33,0)</f>
        <v>0</v>
      </c>
      <c r="M33" s="350">
        <f t="shared" ref="M33" si="30">H33</f>
        <v>1133371.9478055129</v>
      </c>
      <c r="N33" s="54">
        <f t="shared" ref="N33" si="31">IF(M33&lt;&gt;0,+H33-M33,0)</f>
        <v>0</v>
      </c>
      <c r="O33" s="54">
        <f t="shared" ref="O33" si="32">+N33-L33</f>
        <v>0</v>
      </c>
      <c r="P33" s="1"/>
    </row>
    <row r="34" spans="2:16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7322614.4245635988</v>
      </c>
      <c r="E34" s="354">
        <f>IF(+I14&lt;F33,I14,D34)</f>
        <v>301475.39473684208</v>
      </c>
      <c r="F34" s="55">
        <f t="shared" ref="F34:F72" si="33">+D34-E34</f>
        <v>7021139.0298267566</v>
      </c>
      <c r="G34" s="355">
        <f t="shared" ref="G34:G72" si="34">(D34+F34)/2*I$12+E34</f>
        <v>1116247.1664654424</v>
      </c>
      <c r="H34" s="336">
        <f t="shared" ref="H34:H72" si="35">+(D34+F34)/2*I$13+E34</f>
        <v>1116247.1664654424</v>
      </c>
      <c r="I34" s="52">
        <f t="shared" si="0"/>
        <v>0</v>
      </c>
      <c r="J34" s="52"/>
      <c r="K34" s="115"/>
      <c r="L34" s="54">
        <f t="shared" si="1"/>
        <v>0</v>
      </c>
      <c r="M34" s="115"/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7021139.0298267566</v>
      </c>
      <c r="E35" s="354">
        <f>IF(+I14&lt;F34,I14,D35)</f>
        <v>301475.39473684208</v>
      </c>
      <c r="F35" s="55">
        <f t="shared" si="33"/>
        <v>6719663.6350899143</v>
      </c>
      <c r="G35" s="355">
        <f t="shared" si="34"/>
        <v>1081997.6037853013</v>
      </c>
      <c r="H35" s="336">
        <f t="shared" si="35"/>
        <v>1081997.6037853013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6719663.6350899143</v>
      </c>
      <c r="E36" s="354">
        <f>IF(+I14&lt;F35,I14,D36)</f>
        <v>301475.39473684208</v>
      </c>
      <c r="F36" s="55">
        <f t="shared" si="33"/>
        <v>6418188.2403530721</v>
      </c>
      <c r="G36" s="355">
        <f t="shared" si="34"/>
        <v>1047748.0411051603</v>
      </c>
      <c r="H36" s="336">
        <f t="shared" si="35"/>
        <v>1047748.0411051603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6418188.2403530721</v>
      </c>
      <c r="E37" s="354">
        <f>IF(+I14&lt;F36,I14,D37)</f>
        <v>301475.39473684208</v>
      </c>
      <c r="F37" s="55">
        <f t="shared" si="33"/>
        <v>6116712.8456162298</v>
      </c>
      <c r="G37" s="355">
        <f t="shared" si="34"/>
        <v>1013498.4784250192</v>
      </c>
      <c r="H37" s="336">
        <f t="shared" si="35"/>
        <v>1013498.4784250192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6116712.8456162298</v>
      </c>
      <c r="E38" s="354">
        <f>IF(+I14&lt;F37,I14,D38)</f>
        <v>301475.39473684208</v>
      </c>
      <c r="F38" s="55">
        <f t="shared" si="33"/>
        <v>5815237.4508793876</v>
      </c>
      <c r="G38" s="355">
        <f t="shared" si="34"/>
        <v>979248.91574487812</v>
      </c>
      <c r="H38" s="336">
        <f t="shared" si="35"/>
        <v>979248.91574487812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5815237.4508793876</v>
      </c>
      <c r="E39" s="354">
        <f>IF(+I14&lt;F38,I14,D39)</f>
        <v>301475.39473684208</v>
      </c>
      <c r="F39" s="55">
        <f t="shared" si="33"/>
        <v>5513762.0561425453</v>
      </c>
      <c r="G39" s="355">
        <f t="shared" si="34"/>
        <v>944999.35306473705</v>
      </c>
      <c r="H39" s="336">
        <f t="shared" si="35"/>
        <v>944999.35306473705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5513762.0561425453</v>
      </c>
      <c r="E40" s="354">
        <f>IF(+I14&lt;F39,I14,D40)</f>
        <v>301475.39473684208</v>
      </c>
      <c r="F40" s="55">
        <f t="shared" si="33"/>
        <v>5212286.6614057031</v>
      </c>
      <c r="G40" s="355">
        <f t="shared" si="34"/>
        <v>910749.79038459598</v>
      </c>
      <c r="H40" s="336">
        <f t="shared" si="35"/>
        <v>910749.79038459598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5212286.6614057031</v>
      </c>
      <c r="E41" s="354">
        <f>IF(+I14&lt;F40,I14,D41)</f>
        <v>301475.39473684208</v>
      </c>
      <c r="F41" s="55">
        <f t="shared" si="33"/>
        <v>4910811.2666688608</v>
      </c>
      <c r="G41" s="355">
        <f t="shared" si="34"/>
        <v>876500.22770445514</v>
      </c>
      <c r="H41" s="336">
        <f t="shared" si="35"/>
        <v>876500.22770445514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4910811.2666688608</v>
      </c>
      <c r="E42" s="354">
        <f>IF(+I14&lt;F41,I14,D42)</f>
        <v>301475.39473684208</v>
      </c>
      <c r="F42" s="55">
        <f t="shared" si="33"/>
        <v>4609335.8719320185</v>
      </c>
      <c r="G42" s="355">
        <f t="shared" si="34"/>
        <v>842250.66502431384</v>
      </c>
      <c r="H42" s="336">
        <f t="shared" si="35"/>
        <v>842250.66502431384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4609335.8719320185</v>
      </c>
      <c r="E43" s="354">
        <f>IF(+I14&lt;F42,I14,D43)</f>
        <v>301475.39473684208</v>
      </c>
      <c r="F43" s="55">
        <f t="shared" si="33"/>
        <v>4307860.4771951763</v>
      </c>
      <c r="G43" s="355">
        <f t="shared" si="34"/>
        <v>808001.10234417301</v>
      </c>
      <c r="H43" s="336">
        <f t="shared" si="35"/>
        <v>808001.10234417301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4307860.4771951763</v>
      </c>
      <c r="E44" s="354">
        <f>IF(+I14&lt;F43,I14,D44)</f>
        <v>301475.39473684208</v>
      </c>
      <c r="F44" s="55">
        <f t="shared" si="33"/>
        <v>4006385.082458334</v>
      </c>
      <c r="G44" s="355">
        <f t="shared" si="34"/>
        <v>773751.53966403182</v>
      </c>
      <c r="H44" s="336">
        <f t="shared" si="35"/>
        <v>773751.53966403182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4006385.082458334</v>
      </c>
      <c r="E45" s="354">
        <f>IF(+I14&lt;F44,I14,D45)</f>
        <v>301475.39473684208</v>
      </c>
      <c r="F45" s="55">
        <f t="shared" si="33"/>
        <v>3704909.6877214918</v>
      </c>
      <c r="G45" s="355">
        <f t="shared" si="34"/>
        <v>739501.97698389087</v>
      </c>
      <c r="H45" s="336">
        <f t="shared" si="35"/>
        <v>739501.97698389087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3704909.6877214918</v>
      </c>
      <c r="E46" s="354">
        <f>IF(+I14&lt;F45,I14,D46)</f>
        <v>301475.39473684208</v>
      </c>
      <c r="F46" s="55">
        <f t="shared" si="33"/>
        <v>3403434.2929846495</v>
      </c>
      <c r="G46" s="355">
        <f t="shared" si="34"/>
        <v>705252.4143037498</v>
      </c>
      <c r="H46" s="336">
        <f t="shared" si="35"/>
        <v>705252.4143037498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3403434.2929846495</v>
      </c>
      <c r="E47" s="354">
        <f>IF(+I14&lt;F46,I14,D47)</f>
        <v>301475.39473684208</v>
      </c>
      <c r="F47" s="55">
        <f t="shared" si="33"/>
        <v>3101958.8982478073</v>
      </c>
      <c r="G47" s="355">
        <f t="shared" si="34"/>
        <v>671002.85162360873</v>
      </c>
      <c r="H47" s="336">
        <f t="shared" si="35"/>
        <v>671002.85162360873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3101958.8982478073</v>
      </c>
      <c r="E48" s="354">
        <f>IF(+I14&lt;F47,I14,D48)</f>
        <v>301475.39473684208</v>
      </c>
      <c r="F48" s="55">
        <f t="shared" si="33"/>
        <v>2800483.503510965</v>
      </c>
      <c r="G48" s="355">
        <f t="shared" si="34"/>
        <v>636753.28894346766</v>
      </c>
      <c r="H48" s="336">
        <f t="shared" si="35"/>
        <v>636753.28894346766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2800483.503510965</v>
      </c>
      <c r="E49" s="354">
        <f>IF(+I14&lt;F48,I14,D49)</f>
        <v>301475.39473684208</v>
      </c>
      <c r="F49" s="55">
        <f t="shared" si="33"/>
        <v>2499008.1087741228</v>
      </c>
      <c r="G49" s="355">
        <f t="shared" si="34"/>
        <v>602503.72626332659</v>
      </c>
      <c r="H49" s="336">
        <f t="shared" si="35"/>
        <v>602503.72626332659</v>
      </c>
      <c r="I49" s="52">
        <f t="shared" ref="I49:I72" si="36">H303-G303</f>
        <v>0</v>
      </c>
      <c r="J49" s="52"/>
      <c r="K49" s="115"/>
      <c r="L49" s="54">
        <f t="shared" ref="L49:L72" si="37">IF(K303&lt;&gt;0,+G303-K303,0)</f>
        <v>0</v>
      </c>
      <c r="M49" s="115"/>
      <c r="N49" s="54">
        <f t="shared" ref="N49:N72" si="38">IF(M303&lt;&gt;0,+H303-M303,0)</f>
        <v>0</v>
      </c>
      <c r="O49" s="54">
        <f t="shared" ref="O49:O72" si="39">+N303-L303</f>
        <v>0</v>
      </c>
      <c r="P49" s="1"/>
    </row>
    <row r="50" spans="2:16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2499008.1087741228</v>
      </c>
      <c r="E50" s="354">
        <f>IF(+I14&lt;F49,I14,D50)</f>
        <v>301475.39473684208</v>
      </c>
      <c r="F50" s="55">
        <f t="shared" si="33"/>
        <v>2197532.7140372805</v>
      </c>
      <c r="G50" s="355">
        <f t="shared" si="34"/>
        <v>568254.16358318552</v>
      </c>
      <c r="H50" s="336">
        <f t="shared" si="35"/>
        <v>568254.16358318552</v>
      </c>
      <c r="I50" s="52">
        <f t="shared" si="36"/>
        <v>0</v>
      </c>
      <c r="J50" s="52"/>
      <c r="K50" s="115"/>
      <c r="L50" s="54">
        <f t="shared" si="37"/>
        <v>0</v>
      </c>
      <c r="M50" s="115"/>
      <c r="N50" s="54">
        <f t="shared" si="38"/>
        <v>0</v>
      </c>
      <c r="O50" s="54">
        <f t="shared" si="39"/>
        <v>0</v>
      </c>
      <c r="P50" s="1"/>
    </row>
    <row r="51" spans="2:16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2197532.7140372805</v>
      </c>
      <c r="E51" s="354">
        <f>IF(+I14&lt;F50,I14,D51)</f>
        <v>301475.39473684208</v>
      </c>
      <c r="F51" s="55">
        <f t="shared" si="33"/>
        <v>1896057.3193004385</v>
      </c>
      <c r="G51" s="355">
        <f t="shared" si="34"/>
        <v>534004.60090304445</v>
      </c>
      <c r="H51" s="336">
        <f t="shared" si="35"/>
        <v>534004.60090304445</v>
      </c>
      <c r="I51" s="52">
        <f t="shared" si="36"/>
        <v>0</v>
      </c>
      <c r="J51" s="52"/>
      <c r="K51" s="115"/>
      <c r="L51" s="54">
        <f t="shared" si="37"/>
        <v>0</v>
      </c>
      <c r="M51" s="115"/>
      <c r="N51" s="54">
        <f t="shared" si="38"/>
        <v>0</v>
      </c>
      <c r="O51" s="54">
        <f t="shared" si="39"/>
        <v>0</v>
      </c>
      <c r="P51" s="1"/>
    </row>
    <row r="52" spans="2:16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1896057.3193004385</v>
      </c>
      <c r="E52" s="354">
        <f>IF(+I14&lt;F51,I14,D52)</f>
        <v>301475.39473684208</v>
      </c>
      <c r="F52" s="55">
        <f t="shared" si="33"/>
        <v>1594581.9245635965</v>
      </c>
      <c r="G52" s="355">
        <f t="shared" si="34"/>
        <v>499755.0382229035</v>
      </c>
      <c r="H52" s="336">
        <f t="shared" si="35"/>
        <v>499755.0382229035</v>
      </c>
      <c r="I52" s="52">
        <f t="shared" si="36"/>
        <v>0</v>
      </c>
      <c r="J52" s="52"/>
      <c r="K52" s="115"/>
      <c r="L52" s="54">
        <f t="shared" si="37"/>
        <v>0</v>
      </c>
      <c r="M52" s="115"/>
      <c r="N52" s="54">
        <f t="shared" si="38"/>
        <v>0</v>
      </c>
      <c r="O52" s="54">
        <f t="shared" si="39"/>
        <v>0</v>
      </c>
      <c r="P52" s="1"/>
    </row>
    <row r="53" spans="2:16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1594581.9245635965</v>
      </c>
      <c r="E53" s="354">
        <f>IF(+I14&lt;F52,I14,D53)</f>
        <v>301475.39473684208</v>
      </c>
      <c r="F53" s="55">
        <f t="shared" si="33"/>
        <v>1293106.5298267545</v>
      </c>
      <c r="G53" s="355">
        <f t="shared" si="34"/>
        <v>465505.47554276243</v>
      </c>
      <c r="H53" s="336">
        <f t="shared" si="35"/>
        <v>465505.47554276243</v>
      </c>
      <c r="I53" s="52">
        <f t="shared" si="36"/>
        <v>0</v>
      </c>
      <c r="J53" s="52"/>
      <c r="K53" s="115"/>
      <c r="L53" s="54">
        <f t="shared" si="37"/>
        <v>0</v>
      </c>
      <c r="M53" s="115"/>
      <c r="N53" s="54">
        <f t="shared" si="38"/>
        <v>0</v>
      </c>
      <c r="O53" s="54">
        <f t="shared" si="39"/>
        <v>0</v>
      </c>
      <c r="P53" s="1"/>
    </row>
    <row r="54" spans="2:16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1293106.5298267545</v>
      </c>
      <c r="E54" s="354">
        <f>IF(+I14&lt;F53,I14,D54)</f>
        <v>301475.39473684208</v>
      </c>
      <c r="F54" s="55">
        <f t="shared" si="33"/>
        <v>991631.13508991245</v>
      </c>
      <c r="G54" s="355">
        <f t="shared" si="34"/>
        <v>431255.91286262148</v>
      </c>
      <c r="H54" s="336">
        <f t="shared" si="35"/>
        <v>431255.91286262148</v>
      </c>
      <c r="I54" s="52">
        <f t="shared" si="36"/>
        <v>0</v>
      </c>
      <c r="J54" s="52"/>
      <c r="K54" s="115"/>
      <c r="L54" s="54">
        <f t="shared" si="37"/>
        <v>0</v>
      </c>
      <c r="M54" s="115"/>
      <c r="N54" s="54">
        <f t="shared" si="38"/>
        <v>0</v>
      </c>
      <c r="O54" s="54">
        <f t="shared" si="39"/>
        <v>0</v>
      </c>
      <c r="P54" s="1"/>
    </row>
    <row r="55" spans="2:16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991631.13508991245</v>
      </c>
      <c r="E55" s="354">
        <f>IF(+I14&lt;F54,I14,D55)</f>
        <v>301475.39473684208</v>
      </c>
      <c r="F55" s="55">
        <f t="shared" si="33"/>
        <v>690155.74035307043</v>
      </c>
      <c r="G55" s="355">
        <f t="shared" si="34"/>
        <v>397006.35018248041</v>
      </c>
      <c r="H55" s="336">
        <f t="shared" si="35"/>
        <v>397006.35018248041</v>
      </c>
      <c r="I55" s="52">
        <f t="shared" si="36"/>
        <v>0</v>
      </c>
      <c r="J55" s="52"/>
      <c r="K55" s="115"/>
      <c r="L55" s="54">
        <f t="shared" si="37"/>
        <v>0</v>
      </c>
      <c r="M55" s="115"/>
      <c r="N55" s="54">
        <f t="shared" si="38"/>
        <v>0</v>
      </c>
      <c r="O55" s="54">
        <f t="shared" si="39"/>
        <v>0</v>
      </c>
      <c r="P55" s="1"/>
    </row>
    <row r="56" spans="2:16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690155.74035307043</v>
      </c>
      <c r="E56" s="354">
        <f>IF(+I14&lt;F55,I14,D56)</f>
        <v>301475.39473684208</v>
      </c>
      <c r="F56" s="55">
        <f t="shared" si="33"/>
        <v>388680.34561622835</v>
      </c>
      <c r="G56" s="355">
        <f t="shared" si="34"/>
        <v>362756.7875023394</v>
      </c>
      <c r="H56" s="336">
        <f t="shared" si="35"/>
        <v>362756.7875023394</v>
      </c>
      <c r="I56" s="52">
        <f t="shared" si="36"/>
        <v>0</v>
      </c>
      <c r="J56" s="52"/>
      <c r="K56" s="115"/>
      <c r="L56" s="54">
        <f t="shared" si="37"/>
        <v>0</v>
      </c>
      <c r="M56" s="115"/>
      <c r="N56" s="54">
        <f t="shared" si="38"/>
        <v>0</v>
      </c>
      <c r="O56" s="54">
        <f t="shared" si="39"/>
        <v>0</v>
      </c>
      <c r="P56" s="1"/>
    </row>
    <row r="57" spans="2:16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388680.34561622835</v>
      </c>
      <c r="E57" s="354">
        <f>IF(+I14&lt;F56,I14,D57)</f>
        <v>301475.39473684208</v>
      </c>
      <c r="F57" s="55">
        <f t="shared" si="33"/>
        <v>87204.950879386277</v>
      </c>
      <c r="G57" s="355">
        <f t="shared" si="34"/>
        <v>328507.22482219833</v>
      </c>
      <c r="H57" s="336">
        <f t="shared" si="35"/>
        <v>328507.22482219833</v>
      </c>
      <c r="I57" s="52">
        <f t="shared" si="36"/>
        <v>0</v>
      </c>
      <c r="J57" s="52"/>
      <c r="K57" s="115"/>
      <c r="L57" s="54">
        <f t="shared" si="37"/>
        <v>0</v>
      </c>
      <c r="M57" s="115"/>
      <c r="N57" s="54">
        <f t="shared" si="38"/>
        <v>0</v>
      </c>
      <c r="O57" s="54">
        <f t="shared" si="39"/>
        <v>0</v>
      </c>
      <c r="P57" s="1"/>
    </row>
    <row r="58" spans="2:16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87204.950879386277</v>
      </c>
      <c r="E58" s="354">
        <f>IF(+I14&lt;F57,I14,D58)</f>
        <v>87204.950879386277</v>
      </c>
      <c r="F58" s="55">
        <f t="shared" si="33"/>
        <v>0</v>
      </c>
      <c r="G58" s="355">
        <f t="shared" si="34"/>
        <v>92158.475252029151</v>
      </c>
      <c r="H58" s="336">
        <f t="shared" si="35"/>
        <v>92158.475252029151</v>
      </c>
      <c r="I58" s="52">
        <f t="shared" si="36"/>
        <v>0</v>
      </c>
      <c r="J58" s="52"/>
      <c r="K58" s="115"/>
      <c r="L58" s="54">
        <f t="shared" si="37"/>
        <v>0</v>
      </c>
      <c r="M58" s="115"/>
      <c r="N58" s="54">
        <f t="shared" si="38"/>
        <v>0</v>
      </c>
      <c r="O58" s="54">
        <f t="shared" si="39"/>
        <v>0</v>
      </c>
      <c r="P58" s="1"/>
    </row>
    <row r="59" spans="2:16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0</v>
      </c>
      <c r="E59" s="354">
        <f>IF(+I14&lt;F58,I14,D59)</f>
        <v>0</v>
      </c>
      <c r="F59" s="55">
        <f t="shared" si="33"/>
        <v>0</v>
      </c>
      <c r="G59" s="355">
        <f t="shared" si="34"/>
        <v>0</v>
      </c>
      <c r="H59" s="336">
        <f t="shared" si="35"/>
        <v>0</v>
      </c>
      <c r="I59" s="52">
        <f t="shared" si="36"/>
        <v>0</v>
      </c>
      <c r="J59" s="52"/>
      <c r="K59" s="115"/>
      <c r="L59" s="54">
        <f t="shared" si="37"/>
        <v>0</v>
      </c>
      <c r="M59" s="115"/>
      <c r="N59" s="54">
        <f t="shared" si="38"/>
        <v>0</v>
      </c>
      <c r="O59" s="54">
        <f t="shared" si="39"/>
        <v>0</v>
      </c>
      <c r="P59" s="1"/>
    </row>
    <row r="60" spans="2:16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54">
        <f>IF(+I14&lt;F59,I14,D60)</f>
        <v>0</v>
      </c>
      <c r="F60" s="55">
        <f t="shared" si="33"/>
        <v>0</v>
      </c>
      <c r="G60" s="355">
        <f t="shared" si="34"/>
        <v>0</v>
      </c>
      <c r="H60" s="336">
        <f t="shared" si="35"/>
        <v>0</v>
      </c>
      <c r="I60" s="52">
        <f t="shared" si="36"/>
        <v>0</v>
      </c>
      <c r="J60" s="52"/>
      <c r="K60" s="115"/>
      <c r="L60" s="54">
        <f t="shared" si="37"/>
        <v>0</v>
      </c>
      <c r="M60" s="115"/>
      <c r="N60" s="54">
        <f t="shared" si="38"/>
        <v>0</v>
      </c>
      <c r="O60" s="54">
        <f t="shared" si="39"/>
        <v>0</v>
      </c>
      <c r="P60" s="1"/>
    </row>
    <row r="61" spans="2:16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54">
        <f>IF(+I14&lt;F60,I14,D61)</f>
        <v>0</v>
      </c>
      <c r="F61" s="55">
        <f t="shared" si="33"/>
        <v>0</v>
      </c>
      <c r="G61" s="355">
        <f t="shared" si="34"/>
        <v>0</v>
      </c>
      <c r="H61" s="336">
        <f t="shared" si="35"/>
        <v>0</v>
      </c>
      <c r="I61" s="52">
        <f t="shared" si="36"/>
        <v>0</v>
      </c>
      <c r="J61" s="52"/>
      <c r="K61" s="115"/>
      <c r="L61" s="54">
        <f t="shared" si="37"/>
        <v>0</v>
      </c>
      <c r="M61" s="115"/>
      <c r="N61" s="54">
        <f t="shared" si="38"/>
        <v>0</v>
      </c>
      <c r="O61" s="54">
        <f t="shared" si="39"/>
        <v>0</v>
      </c>
      <c r="P61" s="1"/>
    </row>
    <row r="62" spans="2:16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54">
        <f>IF(+I14&lt;F61,I14,D62)</f>
        <v>0</v>
      </c>
      <c r="F62" s="55">
        <f t="shared" si="33"/>
        <v>0</v>
      </c>
      <c r="G62" s="355">
        <f t="shared" si="34"/>
        <v>0</v>
      </c>
      <c r="H62" s="336">
        <f t="shared" si="35"/>
        <v>0</v>
      </c>
      <c r="I62" s="52">
        <f t="shared" si="36"/>
        <v>0</v>
      </c>
      <c r="J62" s="52"/>
      <c r="K62" s="115"/>
      <c r="L62" s="54">
        <f t="shared" si="37"/>
        <v>0</v>
      </c>
      <c r="M62" s="115"/>
      <c r="N62" s="54">
        <f t="shared" si="38"/>
        <v>0</v>
      </c>
      <c r="O62" s="54">
        <f t="shared" si="39"/>
        <v>0</v>
      </c>
      <c r="P62" s="1"/>
    </row>
    <row r="63" spans="2:16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54">
        <f>IF(+I14&lt;F62,I14,D63)</f>
        <v>0</v>
      </c>
      <c r="F63" s="55">
        <f t="shared" si="33"/>
        <v>0</v>
      </c>
      <c r="G63" s="355">
        <f t="shared" si="34"/>
        <v>0</v>
      </c>
      <c r="H63" s="336">
        <f t="shared" si="35"/>
        <v>0</v>
      </c>
      <c r="I63" s="52">
        <f t="shared" si="36"/>
        <v>0</v>
      </c>
      <c r="J63" s="52"/>
      <c r="K63" s="115"/>
      <c r="L63" s="54">
        <f t="shared" si="37"/>
        <v>0</v>
      </c>
      <c r="M63" s="115"/>
      <c r="N63" s="54">
        <f t="shared" si="38"/>
        <v>0</v>
      </c>
      <c r="O63" s="54">
        <f t="shared" si="39"/>
        <v>0</v>
      </c>
      <c r="P63" s="1"/>
    </row>
    <row r="64" spans="2:16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54">
        <f>IF(+I14&lt;F63,I14,D64)</f>
        <v>0</v>
      </c>
      <c r="F64" s="55">
        <f t="shared" si="33"/>
        <v>0</v>
      </c>
      <c r="G64" s="355">
        <f t="shared" si="34"/>
        <v>0</v>
      </c>
      <c r="H64" s="336">
        <f t="shared" si="35"/>
        <v>0</v>
      </c>
      <c r="I64" s="52">
        <f t="shared" si="36"/>
        <v>0</v>
      </c>
      <c r="J64" s="52"/>
      <c r="K64" s="115"/>
      <c r="L64" s="54">
        <f t="shared" si="37"/>
        <v>0</v>
      </c>
      <c r="M64" s="115"/>
      <c r="N64" s="54">
        <f t="shared" si="38"/>
        <v>0</v>
      </c>
      <c r="O64" s="54">
        <f t="shared" si="39"/>
        <v>0</v>
      </c>
      <c r="P64" s="1"/>
    </row>
    <row r="65" spans="2:16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54">
        <f>IF(+I14&lt;F64,I14,D65)</f>
        <v>0</v>
      </c>
      <c r="F65" s="55">
        <f t="shared" si="33"/>
        <v>0</v>
      </c>
      <c r="G65" s="355">
        <f t="shared" si="34"/>
        <v>0</v>
      </c>
      <c r="H65" s="336">
        <f t="shared" si="35"/>
        <v>0</v>
      </c>
      <c r="I65" s="52">
        <f t="shared" si="36"/>
        <v>0</v>
      </c>
      <c r="J65" s="52"/>
      <c r="K65" s="115"/>
      <c r="L65" s="54">
        <f t="shared" si="37"/>
        <v>0</v>
      </c>
      <c r="M65" s="115"/>
      <c r="N65" s="54">
        <f t="shared" si="38"/>
        <v>0</v>
      </c>
      <c r="O65" s="54">
        <f t="shared" si="39"/>
        <v>0</v>
      </c>
      <c r="P65" s="1"/>
    </row>
    <row r="66" spans="2:16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54">
        <f>IF(+I14&lt;F65,I14,D66)</f>
        <v>0</v>
      </c>
      <c r="F66" s="55">
        <f t="shared" si="33"/>
        <v>0</v>
      </c>
      <c r="G66" s="355">
        <f t="shared" si="34"/>
        <v>0</v>
      </c>
      <c r="H66" s="336">
        <f t="shared" si="35"/>
        <v>0</v>
      </c>
      <c r="I66" s="52">
        <f t="shared" si="36"/>
        <v>0</v>
      </c>
      <c r="J66" s="52"/>
      <c r="K66" s="115"/>
      <c r="L66" s="54">
        <f t="shared" si="37"/>
        <v>0</v>
      </c>
      <c r="M66" s="115"/>
      <c r="N66" s="54">
        <f t="shared" si="38"/>
        <v>0</v>
      </c>
      <c r="O66" s="54">
        <f t="shared" si="39"/>
        <v>0</v>
      </c>
      <c r="P66" s="1"/>
    </row>
    <row r="67" spans="2:16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54">
        <f>IF(+I14&lt;F66,I14,D67)</f>
        <v>0</v>
      </c>
      <c r="F67" s="55">
        <f t="shared" si="33"/>
        <v>0</v>
      </c>
      <c r="G67" s="355">
        <f t="shared" si="34"/>
        <v>0</v>
      </c>
      <c r="H67" s="336">
        <f t="shared" si="35"/>
        <v>0</v>
      </c>
      <c r="I67" s="52">
        <f t="shared" si="36"/>
        <v>0</v>
      </c>
      <c r="J67" s="52"/>
      <c r="K67" s="115"/>
      <c r="L67" s="54">
        <f t="shared" si="37"/>
        <v>0</v>
      </c>
      <c r="M67" s="115"/>
      <c r="N67" s="54">
        <f t="shared" si="38"/>
        <v>0</v>
      </c>
      <c r="O67" s="54">
        <f t="shared" si="39"/>
        <v>0</v>
      </c>
      <c r="P67" s="1"/>
    </row>
    <row r="68" spans="2:16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54">
        <f>IF(+I14&lt;F67,I14,D68)</f>
        <v>0</v>
      </c>
      <c r="F68" s="55">
        <f t="shared" si="33"/>
        <v>0</v>
      </c>
      <c r="G68" s="355">
        <f t="shared" si="34"/>
        <v>0</v>
      </c>
      <c r="H68" s="336">
        <f t="shared" si="35"/>
        <v>0</v>
      </c>
      <c r="I68" s="52">
        <f t="shared" si="36"/>
        <v>0</v>
      </c>
      <c r="J68" s="52"/>
      <c r="K68" s="115"/>
      <c r="L68" s="54">
        <f t="shared" si="37"/>
        <v>0</v>
      </c>
      <c r="M68" s="115"/>
      <c r="N68" s="54">
        <f t="shared" si="38"/>
        <v>0</v>
      </c>
      <c r="O68" s="54">
        <f t="shared" si="39"/>
        <v>0</v>
      </c>
      <c r="P68" s="1"/>
    </row>
    <row r="69" spans="2:16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54">
        <f>IF(+I14&lt;F68,I14,D69)</f>
        <v>0</v>
      </c>
      <c r="F69" s="55">
        <f t="shared" si="33"/>
        <v>0</v>
      </c>
      <c r="G69" s="355">
        <f t="shared" si="34"/>
        <v>0</v>
      </c>
      <c r="H69" s="336">
        <f t="shared" si="35"/>
        <v>0</v>
      </c>
      <c r="I69" s="52">
        <f t="shared" si="36"/>
        <v>0</v>
      </c>
      <c r="J69" s="52"/>
      <c r="K69" s="115"/>
      <c r="L69" s="54">
        <f t="shared" si="37"/>
        <v>0</v>
      </c>
      <c r="M69" s="115"/>
      <c r="N69" s="54">
        <f t="shared" si="38"/>
        <v>0</v>
      </c>
      <c r="O69" s="54">
        <f t="shared" si="39"/>
        <v>0</v>
      </c>
      <c r="P69" s="1"/>
    </row>
    <row r="70" spans="2:16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54">
        <f>IF(+I14&lt;F69,I14,D70)</f>
        <v>0</v>
      </c>
      <c r="F70" s="55">
        <f t="shared" si="33"/>
        <v>0</v>
      </c>
      <c r="G70" s="355">
        <f t="shared" si="34"/>
        <v>0</v>
      </c>
      <c r="H70" s="336">
        <f t="shared" si="35"/>
        <v>0</v>
      </c>
      <c r="I70" s="52">
        <f t="shared" si="36"/>
        <v>0</v>
      </c>
      <c r="J70" s="52"/>
      <c r="K70" s="115"/>
      <c r="L70" s="54">
        <f t="shared" si="37"/>
        <v>0</v>
      </c>
      <c r="M70" s="115"/>
      <c r="N70" s="54">
        <f t="shared" si="38"/>
        <v>0</v>
      </c>
      <c r="O70" s="54">
        <f t="shared" si="39"/>
        <v>0</v>
      </c>
      <c r="P70" s="1"/>
    </row>
    <row r="71" spans="2:16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54">
        <f>IF(+I14&lt;F70,I14,D71)</f>
        <v>0</v>
      </c>
      <c r="F71" s="55">
        <f t="shared" si="33"/>
        <v>0</v>
      </c>
      <c r="G71" s="355">
        <f t="shared" si="34"/>
        <v>0</v>
      </c>
      <c r="H71" s="336">
        <f t="shared" si="35"/>
        <v>0</v>
      </c>
      <c r="I71" s="52">
        <f t="shared" si="36"/>
        <v>0</v>
      </c>
      <c r="J71" s="52"/>
      <c r="K71" s="115"/>
      <c r="L71" s="54">
        <f t="shared" si="37"/>
        <v>0</v>
      </c>
      <c r="M71" s="115"/>
      <c r="N71" s="54">
        <f t="shared" si="38"/>
        <v>0</v>
      </c>
      <c r="O71" s="54">
        <f t="shared" si="39"/>
        <v>0</v>
      </c>
      <c r="P71" s="1"/>
    </row>
    <row r="72" spans="2:16" ht="13.5" thickBot="1">
      <c r="B72" s="7" t="str">
        <f t="shared" si="6"/>
        <v/>
      </c>
      <c r="C72" s="58">
        <f>IF(D11="","-",+C71+1)</f>
        <v>2064</v>
      </c>
      <c r="D72" s="59">
        <f>IF(F71+SUM(E$17:E71)=D$10,F71,D$10-SUM(E$17:E71))</f>
        <v>0</v>
      </c>
      <c r="E72" s="357">
        <f>IF(+I14&lt;F71,I14,D72)</f>
        <v>0</v>
      </c>
      <c r="F72" s="59">
        <f t="shared" si="33"/>
        <v>0</v>
      </c>
      <c r="G72" s="59">
        <f t="shared" si="34"/>
        <v>0</v>
      </c>
      <c r="H72" s="59">
        <f t="shared" si="35"/>
        <v>0</v>
      </c>
      <c r="I72" s="61">
        <f t="shared" si="36"/>
        <v>0</v>
      </c>
      <c r="J72" s="52"/>
      <c r="K72" s="116"/>
      <c r="L72" s="62">
        <f t="shared" si="37"/>
        <v>0</v>
      </c>
      <c r="M72" s="116"/>
      <c r="N72" s="62">
        <f t="shared" si="38"/>
        <v>0</v>
      </c>
      <c r="O72" s="62">
        <f t="shared" si="39"/>
        <v>0</v>
      </c>
      <c r="P72" s="1"/>
    </row>
    <row r="73" spans="2:16">
      <c r="C73" s="12" t="s">
        <v>77</v>
      </c>
      <c r="D73" s="266"/>
      <c r="E73" s="266">
        <f>SUM(E17:E72)</f>
        <v>11456064.999999993</v>
      </c>
      <c r="F73" s="266"/>
      <c r="G73" s="266">
        <f>SUM(G17:G72)</f>
        <v>41677447.824678384</v>
      </c>
      <c r="H73" s="266">
        <f>SUM(H17:H72)</f>
        <v>41677447.824678384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3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1133371.9478055129</v>
      </c>
      <c r="N87" s="364">
        <f>IF(J92&lt;D11,0,VLOOKUP(J92,C17:O72,11))</f>
        <v>1133371.9478055129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1194125.4184803665</v>
      </c>
      <c r="N88" s="367">
        <f>IF(J92&lt;D11,0,VLOOKUP(J92,C99:P154,7))</f>
        <v>1194125.4184803665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WFEC New 138 kV Ties: Sayre to Erick (WFEC) Line &amp; Atoka and Tupelo station work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60753.470674853539</v>
      </c>
      <c r="N89" s="369">
        <f>+N88-N87</f>
        <v>60753.470674853539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TP2006054</v>
      </c>
      <c r="E91" s="74" t="str">
        <f>E9</f>
        <v>SPP Project ID =</v>
      </c>
      <c r="F91" s="74" t="str">
        <f>F9</f>
        <v>112 &amp; 117</v>
      </c>
      <c r="G91" s="74"/>
      <c r="H91" s="74"/>
      <c r="I91" s="74"/>
      <c r="J91" s="74"/>
    </row>
    <row r="92" spans="1:16">
      <c r="C92" s="128" t="s">
        <v>226</v>
      </c>
      <c r="D92" s="335">
        <v>11456065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2009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10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309623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2009</v>
      </c>
      <c r="D99" s="348">
        <v>0</v>
      </c>
      <c r="E99" s="352">
        <v>26281</v>
      </c>
      <c r="F99" s="351">
        <v>8804059</v>
      </c>
      <c r="G99" s="376">
        <v>4402030</v>
      </c>
      <c r="H99" s="377">
        <v>669894</v>
      </c>
      <c r="I99" s="378">
        <v>669894</v>
      </c>
      <c r="J99" s="54">
        <f t="shared" ref="J99:J130" si="40">+I99-H99</f>
        <v>0</v>
      </c>
      <c r="K99" s="54"/>
      <c r="L99" s="117">
        <f t="shared" ref="L99:L104" si="41">H99</f>
        <v>669894</v>
      </c>
      <c r="M99" s="53">
        <f t="shared" ref="M99:M130" si="42">IF(L99&lt;&gt;0,+H99-L99,0)</f>
        <v>0</v>
      </c>
      <c r="N99" s="117">
        <f t="shared" ref="N99:N104" si="43">I99</f>
        <v>669894</v>
      </c>
      <c r="O99" s="53">
        <f t="shared" ref="O99:O130" si="44">IF(N99&lt;&gt;0,+I99-N99,0)</f>
        <v>0</v>
      </c>
      <c r="P99" s="53">
        <f t="shared" ref="P99:P130" si="45">+O99-M99</f>
        <v>0</v>
      </c>
    </row>
    <row r="100" spans="1:16">
      <c r="B100" s="7" t="str">
        <f>IF(D100=F99,"","IU")</f>
        <v>IU</v>
      </c>
      <c r="C100" s="50">
        <f>IF(D93="","-",+C99+1)</f>
        <v>2010</v>
      </c>
      <c r="D100" s="348">
        <v>12205867</v>
      </c>
      <c r="E100" s="352">
        <v>239846</v>
      </c>
      <c r="F100" s="351">
        <v>11966021</v>
      </c>
      <c r="G100" s="351">
        <v>12085944</v>
      </c>
      <c r="H100" s="352">
        <v>2183449.7644146364</v>
      </c>
      <c r="I100" s="353">
        <v>2183449.7644146364</v>
      </c>
      <c r="J100" s="54">
        <f t="shared" si="40"/>
        <v>0</v>
      </c>
      <c r="K100" s="54"/>
      <c r="L100" s="379">
        <f t="shared" si="41"/>
        <v>2183449.7644146364</v>
      </c>
      <c r="M100" s="380">
        <f t="shared" si="42"/>
        <v>0</v>
      </c>
      <c r="N100" s="379">
        <f t="shared" si="43"/>
        <v>2183449.7644146364</v>
      </c>
      <c r="O100" s="54">
        <f t="shared" si="44"/>
        <v>0</v>
      </c>
      <c r="P100" s="54">
        <f t="shared" si="45"/>
        <v>0</v>
      </c>
    </row>
    <row r="101" spans="1:16">
      <c r="B101" s="7" t="str">
        <f t="shared" ref="B101:B154" si="46">IF(D101=F100,"","IU")</f>
        <v/>
      </c>
      <c r="C101" s="50">
        <f>IF(D93="","-",+C100+1)</f>
        <v>2011</v>
      </c>
      <c r="D101" s="348">
        <v>11966021</v>
      </c>
      <c r="E101" s="352">
        <v>235234</v>
      </c>
      <c r="F101" s="351">
        <v>11730787</v>
      </c>
      <c r="G101" s="351">
        <v>11848404</v>
      </c>
      <c r="H101" s="352">
        <v>1891800.0972614796</v>
      </c>
      <c r="I101" s="353">
        <v>1891800.0972614796</v>
      </c>
      <c r="J101" s="54">
        <f t="shared" si="40"/>
        <v>0</v>
      </c>
      <c r="K101" s="54"/>
      <c r="L101" s="379">
        <f t="shared" si="41"/>
        <v>1891800.0972614796</v>
      </c>
      <c r="M101" s="380">
        <f t="shared" si="42"/>
        <v>0</v>
      </c>
      <c r="N101" s="379">
        <f t="shared" si="43"/>
        <v>1891800.0972614796</v>
      </c>
      <c r="O101" s="54">
        <f t="shared" si="44"/>
        <v>0</v>
      </c>
      <c r="P101" s="54">
        <f t="shared" si="45"/>
        <v>0</v>
      </c>
    </row>
    <row r="102" spans="1:16">
      <c r="B102" s="7" t="str">
        <f t="shared" si="46"/>
        <v/>
      </c>
      <c r="C102" s="50">
        <f>IF(D93="","-",+C101+1)</f>
        <v>2012</v>
      </c>
      <c r="D102" s="348">
        <v>11730787</v>
      </c>
      <c r="E102" s="352">
        <v>235234</v>
      </c>
      <c r="F102" s="351">
        <v>11495553</v>
      </c>
      <c r="G102" s="351">
        <v>11613170</v>
      </c>
      <c r="H102" s="352">
        <v>1905852.1655461292</v>
      </c>
      <c r="I102" s="353">
        <v>1905852.1655461292</v>
      </c>
      <c r="J102" s="54">
        <v>0</v>
      </c>
      <c r="K102" s="54"/>
      <c r="L102" s="379">
        <f t="shared" si="41"/>
        <v>1905852.1655461292</v>
      </c>
      <c r="M102" s="380">
        <f t="shared" ref="M102:M107" si="47">IF(L102&lt;&gt;0,+H102-L102,0)</f>
        <v>0</v>
      </c>
      <c r="N102" s="379">
        <f t="shared" si="43"/>
        <v>1905852.1655461292</v>
      </c>
      <c r="O102" s="54">
        <f t="shared" ref="O102:O107" si="48">IF(N102&lt;&gt;0,+I102-N102,0)</f>
        <v>0</v>
      </c>
      <c r="P102" s="54">
        <f t="shared" ref="P102:P107" si="49">+O102-M102</f>
        <v>0</v>
      </c>
    </row>
    <row r="103" spans="1:16">
      <c r="B103" s="7" t="str">
        <f t="shared" si="46"/>
        <v/>
      </c>
      <c r="C103" s="50">
        <f>IF(D93="","-",+C102+1)</f>
        <v>2013</v>
      </c>
      <c r="D103" s="348">
        <v>11495553</v>
      </c>
      <c r="E103" s="352">
        <v>235234</v>
      </c>
      <c r="F103" s="351">
        <v>11260319</v>
      </c>
      <c r="G103" s="351">
        <v>11377936</v>
      </c>
      <c r="H103" s="352">
        <v>1872969.4877104962</v>
      </c>
      <c r="I103" s="353">
        <v>1872969.4877104962</v>
      </c>
      <c r="J103" s="54">
        <v>0</v>
      </c>
      <c r="K103" s="54"/>
      <c r="L103" s="379">
        <f t="shared" si="41"/>
        <v>1872969.4877104962</v>
      </c>
      <c r="M103" s="380">
        <f t="shared" si="47"/>
        <v>0</v>
      </c>
      <c r="N103" s="379">
        <f t="shared" si="43"/>
        <v>1872969.4877104962</v>
      </c>
      <c r="O103" s="54">
        <f t="shared" si="48"/>
        <v>0</v>
      </c>
      <c r="P103" s="54">
        <f t="shared" si="49"/>
        <v>0</v>
      </c>
    </row>
    <row r="104" spans="1:16">
      <c r="B104" s="7" t="str">
        <f t="shared" si="46"/>
        <v>IU</v>
      </c>
      <c r="C104" s="50">
        <f>IF(D93="","-",+C103+1)</f>
        <v>2014</v>
      </c>
      <c r="D104" s="348">
        <v>10484236</v>
      </c>
      <c r="E104" s="352">
        <v>220309</v>
      </c>
      <c r="F104" s="351">
        <v>10263927</v>
      </c>
      <c r="G104" s="351">
        <v>10374081.5</v>
      </c>
      <c r="H104" s="352">
        <v>1678862.4521722798</v>
      </c>
      <c r="I104" s="353">
        <v>1678862.4521722798</v>
      </c>
      <c r="J104" s="54">
        <v>0</v>
      </c>
      <c r="K104" s="54"/>
      <c r="L104" s="379">
        <f t="shared" si="41"/>
        <v>1678862.4521722798</v>
      </c>
      <c r="M104" s="380">
        <f t="shared" si="47"/>
        <v>0</v>
      </c>
      <c r="N104" s="379">
        <f t="shared" si="43"/>
        <v>1678862.4521722798</v>
      </c>
      <c r="O104" s="54">
        <f t="shared" si="48"/>
        <v>0</v>
      </c>
      <c r="P104" s="54">
        <f t="shared" si="49"/>
        <v>0</v>
      </c>
    </row>
    <row r="105" spans="1:16">
      <c r="B105" s="7" t="str">
        <f t="shared" si="46"/>
        <v/>
      </c>
      <c r="C105" s="50">
        <f>IF(D93="","-",+C104+1)</f>
        <v>2015</v>
      </c>
      <c r="D105" s="348">
        <v>10263927</v>
      </c>
      <c r="E105" s="352">
        <v>220309</v>
      </c>
      <c r="F105" s="351">
        <v>10043618</v>
      </c>
      <c r="G105" s="351">
        <v>10153772.5</v>
      </c>
      <c r="H105" s="352">
        <v>1605709.6172709188</v>
      </c>
      <c r="I105" s="353">
        <v>1605709.6172709188</v>
      </c>
      <c r="J105" s="54">
        <f t="shared" si="40"/>
        <v>0</v>
      </c>
      <c r="K105" s="54"/>
      <c r="L105" s="379">
        <f t="shared" ref="L105:L110" si="50">H105</f>
        <v>1605709.6172709188</v>
      </c>
      <c r="M105" s="380">
        <f t="shared" si="47"/>
        <v>0</v>
      </c>
      <c r="N105" s="379">
        <f t="shared" ref="N105:N110" si="51">I105</f>
        <v>1605709.6172709188</v>
      </c>
      <c r="O105" s="54">
        <f t="shared" si="48"/>
        <v>0</v>
      </c>
      <c r="P105" s="54">
        <f t="shared" si="49"/>
        <v>0</v>
      </c>
    </row>
    <row r="106" spans="1:16">
      <c r="B106" s="7" t="str">
        <f t="shared" si="46"/>
        <v/>
      </c>
      <c r="C106" s="50">
        <f>IF(D93="","-",+C105+1)</f>
        <v>2016</v>
      </c>
      <c r="D106" s="348">
        <v>10043618</v>
      </c>
      <c r="E106" s="352">
        <v>249045</v>
      </c>
      <c r="F106" s="351">
        <v>9794573</v>
      </c>
      <c r="G106" s="351">
        <v>9919095.5</v>
      </c>
      <c r="H106" s="352">
        <v>1527772.6245386968</v>
      </c>
      <c r="I106" s="353">
        <v>1527772.6245386968</v>
      </c>
      <c r="J106" s="54">
        <f t="shared" si="40"/>
        <v>0</v>
      </c>
      <c r="K106" s="54"/>
      <c r="L106" s="379">
        <f t="shared" si="50"/>
        <v>1527772.6245386968</v>
      </c>
      <c r="M106" s="380">
        <f t="shared" si="47"/>
        <v>0</v>
      </c>
      <c r="N106" s="379">
        <f t="shared" si="51"/>
        <v>1527772.6245386968</v>
      </c>
      <c r="O106" s="54">
        <f t="shared" si="48"/>
        <v>0</v>
      </c>
      <c r="P106" s="54">
        <f t="shared" si="49"/>
        <v>0</v>
      </c>
    </row>
    <row r="107" spans="1:16">
      <c r="B107" s="7" t="str">
        <f t="shared" si="46"/>
        <v/>
      </c>
      <c r="C107" s="50">
        <f>IF(D93="","-",+C106+1)</f>
        <v>2017</v>
      </c>
      <c r="D107" s="348">
        <v>9794573</v>
      </c>
      <c r="E107" s="352">
        <v>249045</v>
      </c>
      <c r="F107" s="351">
        <v>9545528</v>
      </c>
      <c r="G107" s="351">
        <v>9670050.5</v>
      </c>
      <c r="H107" s="352">
        <v>1475715.2889659985</v>
      </c>
      <c r="I107" s="353">
        <v>1475715.2889659985</v>
      </c>
      <c r="J107" s="54">
        <f t="shared" si="40"/>
        <v>0</v>
      </c>
      <c r="K107" s="54"/>
      <c r="L107" s="379">
        <f t="shared" si="50"/>
        <v>1475715.2889659985</v>
      </c>
      <c r="M107" s="380">
        <f t="shared" si="47"/>
        <v>0</v>
      </c>
      <c r="N107" s="379">
        <f t="shared" si="51"/>
        <v>1475715.2889659985</v>
      </c>
      <c r="O107" s="54">
        <f t="shared" si="48"/>
        <v>0</v>
      </c>
      <c r="P107" s="54">
        <f t="shared" si="49"/>
        <v>0</v>
      </c>
    </row>
    <row r="108" spans="1:16">
      <c r="B108" s="7" t="str">
        <f t="shared" si="46"/>
        <v/>
      </c>
      <c r="C108" s="50">
        <f>IF(D93="","-",+C107+1)</f>
        <v>2018</v>
      </c>
      <c r="D108" s="348">
        <v>9545528</v>
      </c>
      <c r="E108" s="352">
        <v>266420</v>
      </c>
      <c r="F108" s="351">
        <v>9279108</v>
      </c>
      <c r="G108" s="351">
        <v>9412318</v>
      </c>
      <c r="H108" s="352">
        <v>1233399.824885203</v>
      </c>
      <c r="I108" s="353">
        <v>1233399.824885203</v>
      </c>
      <c r="J108" s="54">
        <f t="shared" si="40"/>
        <v>0</v>
      </c>
      <c r="K108" s="54"/>
      <c r="L108" s="379">
        <f t="shared" si="50"/>
        <v>1233399.824885203</v>
      </c>
      <c r="M108" s="380">
        <f t="shared" ref="M108" si="52">IF(L108&lt;&gt;0,+H108-L108,0)</f>
        <v>0</v>
      </c>
      <c r="N108" s="379">
        <f t="shared" si="51"/>
        <v>1233399.824885203</v>
      </c>
      <c r="O108" s="54">
        <f t="shared" ref="O108" si="53">IF(N108&lt;&gt;0,+I108-N108,0)</f>
        <v>0</v>
      </c>
      <c r="P108" s="54">
        <f t="shared" ref="P108" si="54">+O108-M108</f>
        <v>0</v>
      </c>
    </row>
    <row r="109" spans="1:16">
      <c r="B109" s="7" t="str">
        <f t="shared" si="46"/>
        <v/>
      </c>
      <c r="C109" s="50">
        <f>IF(D93="","-",+C108+1)</f>
        <v>2019</v>
      </c>
      <c r="D109" s="348">
        <v>9279108</v>
      </c>
      <c r="E109" s="352">
        <v>279416</v>
      </c>
      <c r="F109" s="351">
        <v>8999692</v>
      </c>
      <c r="G109" s="351">
        <v>9139400</v>
      </c>
      <c r="H109" s="352">
        <v>1221816.3299613127</v>
      </c>
      <c r="I109" s="353">
        <v>1221816.3299613127</v>
      </c>
      <c r="J109" s="54">
        <f t="shared" si="40"/>
        <v>0</v>
      </c>
      <c r="K109" s="54"/>
      <c r="L109" s="379">
        <f t="shared" si="50"/>
        <v>1221816.3299613127</v>
      </c>
      <c r="M109" s="380">
        <f t="shared" ref="M109" si="55">IF(L109&lt;&gt;0,+H109-L109,0)</f>
        <v>0</v>
      </c>
      <c r="N109" s="379">
        <f t="shared" si="51"/>
        <v>1221816.3299613127</v>
      </c>
      <c r="O109" s="54">
        <f t="shared" si="44"/>
        <v>0</v>
      </c>
      <c r="P109" s="54">
        <f t="shared" si="45"/>
        <v>0</v>
      </c>
    </row>
    <row r="110" spans="1:16">
      <c r="B110" s="7" t="str">
        <f t="shared" si="46"/>
        <v/>
      </c>
      <c r="C110" s="50">
        <f>IF(D93="","-",+C109+1)</f>
        <v>2020</v>
      </c>
      <c r="D110" s="348">
        <v>8999692</v>
      </c>
      <c r="E110" s="352">
        <v>266420</v>
      </c>
      <c r="F110" s="351">
        <v>8733272</v>
      </c>
      <c r="G110" s="351">
        <v>8866482</v>
      </c>
      <c r="H110" s="352">
        <v>1288700.9982176959</v>
      </c>
      <c r="I110" s="353">
        <v>1288700.9982176959</v>
      </c>
      <c r="J110" s="54">
        <f t="shared" si="40"/>
        <v>0</v>
      </c>
      <c r="K110" s="54"/>
      <c r="L110" s="379">
        <f t="shared" si="50"/>
        <v>1288700.9982176959</v>
      </c>
      <c r="M110" s="380">
        <f t="shared" ref="M110" si="56">IF(L110&lt;&gt;0,+H110-L110,0)</f>
        <v>0</v>
      </c>
      <c r="N110" s="379">
        <f t="shared" si="51"/>
        <v>1288700.9982176959</v>
      </c>
      <c r="O110" s="54">
        <f t="shared" si="44"/>
        <v>0</v>
      </c>
      <c r="P110" s="54">
        <f t="shared" si="45"/>
        <v>0</v>
      </c>
    </row>
    <row r="111" spans="1:16">
      <c r="B111" s="7" t="str">
        <f t="shared" si="46"/>
        <v/>
      </c>
      <c r="C111" s="50">
        <f>IF(D93="","-",+C110+1)</f>
        <v>2021</v>
      </c>
      <c r="D111" s="348">
        <v>8733272</v>
      </c>
      <c r="E111" s="352">
        <v>279416</v>
      </c>
      <c r="F111" s="351">
        <v>8453856</v>
      </c>
      <c r="G111" s="351">
        <v>8593564</v>
      </c>
      <c r="H111" s="352">
        <v>1257301.6496546383</v>
      </c>
      <c r="I111" s="353">
        <v>1257301.6496546383</v>
      </c>
      <c r="J111" s="54">
        <f t="shared" si="40"/>
        <v>0</v>
      </c>
      <c r="K111" s="54"/>
      <c r="L111" s="379">
        <f t="shared" ref="L111" si="57">H111</f>
        <v>1257301.6496546383</v>
      </c>
      <c r="M111" s="380">
        <f t="shared" ref="M111" si="58">IF(L111&lt;&gt;0,+H111-L111,0)</f>
        <v>0</v>
      </c>
      <c r="N111" s="379">
        <f t="shared" ref="N111" si="59">I111</f>
        <v>1257301.6496546383</v>
      </c>
      <c r="O111" s="54">
        <f t="shared" si="44"/>
        <v>0</v>
      </c>
      <c r="P111" s="54">
        <f t="shared" si="45"/>
        <v>0</v>
      </c>
    </row>
    <row r="112" spans="1:16">
      <c r="B112" s="7" t="str">
        <f t="shared" si="46"/>
        <v/>
      </c>
      <c r="C112" s="50">
        <f>IF(D93="","-",+C111+1)</f>
        <v>2022</v>
      </c>
      <c r="D112" s="348">
        <v>8453856</v>
      </c>
      <c r="E112" s="352">
        <v>293745</v>
      </c>
      <c r="F112" s="351">
        <v>8160111</v>
      </c>
      <c r="G112" s="351">
        <v>8306983.5</v>
      </c>
      <c r="H112" s="352">
        <v>1209030.4794242503</v>
      </c>
      <c r="I112" s="353">
        <v>1209030.4794242503</v>
      </c>
      <c r="J112" s="54">
        <f t="shared" si="40"/>
        <v>0</v>
      </c>
      <c r="K112" s="54"/>
      <c r="L112" s="379">
        <f t="shared" ref="L112" si="60">H112</f>
        <v>1209030.4794242503</v>
      </c>
      <c r="M112" s="380">
        <f t="shared" ref="M112" si="61">IF(L112&lt;&gt;0,+H112-L112,0)</f>
        <v>0</v>
      </c>
      <c r="N112" s="379">
        <f t="shared" ref="N112" si="62">I112</f>
        <v>1209030.4794242503</v>
      </c>
      <c r="O112" s="54">
        <f t="shared" ref="O112" si="63">IF(N112&lt;&gt;0,+I112-N112,0)</f>
        <v>0</v>
      </c>
      <c r="P112" s="54">
        <f t="shared" ref="P112" si="64">+O112-M112</f>
        <v>0</v>
      </c>
    </row>
    <row r="113" spans="2:16">
      <c r="B113" s="7" t="str">
        <f t="shared" si="46"/>
        <v/>
      </c>
      <c r="C113" s="50">
        <f>IF(D93="","-",+C112+1)</f>
        <v>2023</v>
      </c>
      <c r="D113" s="348">
        <v>8160111</v>
      </c>
      <c r="E113" s="352">
        <v>301475</v>
      </c>
      <c r="F113" s="351">
        <v>7858636</v>
      </c>
      <c r="G113" s="351">
        <v>8009373.5</v>
      </c>
      <c r="H113" s="352">
        <v>1216362.1317254766</v>
      </c>
      <c r="I113" s="353">
        <v>1216362.1317254766</v>
      </c>
      <c r="J113" s="54">
        <f t="shared" si="40"/>
        <v>0</v>
      </c>
      <c r="K113" s="54"/>
      <c r="L113" s="379">
        <f t="shared" ref="L113" si="65">H113</f>
        <v>1216362.1317254766</v>
      </c>
      <c r="M113" s="380">
        <f t="shared" ref="M113" si="66">IF(L113&lt;&gt;0,+H113-L113,0)</f>
        <v>0</v>
      </c>
      <c r="N113" s="379">
        <f t="shared" ref="N113" si="67">I113</f>
        <v>1216362.1317254766</v>
      </c>
      <c r="O113" s="54">
        <f t="shared" ref="O113" si="68">IF(N113&lt;&gt;0,+I113-N113,0)</f>
        <v>0</v>
      </c>
      <c r="P113" s="54">
        <f t="shared" ref="P113" si="69">+O113-M113</f>
        <v>0</v>
      </c>
    </row>
    <row r="114" spans="2:16">
      <c r="B114" s="7" t="str">
        <f t="shared" si="46"/>
        <v/>
      </c>
      <c r="C114" s="50">
        <f>IF(D93="","-",+C113+1)</f>
        <v>2024</v>
      </c>
      <c r="D114" s="348">
        <v>7858636</v>
      </c>
      <c r="E114" s="352">
        <v>309623</v>
      </c>
      <c r="F114" s="351">
        <v>7549013</v>
      </c>
      <c r="G114" s="351">
        <v>7703824.5</v>
      </c>
      <c r="H114" s="352">
        <v>1344390.7670372073</v>
      </c>
      <c r="I114" s="353">
        <v>1344390.7670372073</v>
      </c>
      <c r="J114" s="54">
        <f t="shared" si="40"/>
        <v>0</v>
      </c>
      <c r="K114" s="54"/>
      <c r="L114" s="379">
        <f t="shared" ref="L114" si="70">H114</f>
        <v>1344390.7670372073</v>
      </c>
      <c r="M114" s="380">
        <f t="shared" ref="M114" si="71">IF(L114&lt;&gt;0,+H114-L114,0)</f>
        <v>0</v>
      </c>
      <c r="N114" s="379">
        <f t="shared" ref="N114" si="72">I114</f>
        <v>1344390.7670372073</v>
      </c>
      <c r="O114" s="54">
        <f t="shared" si="44"/>
        <v>0</v>
      </c>
      <c r="P114" s="54">
        <f t="shared" si="45"/>
        <v>0</v>
      </c>
    </row>
    <row r="115" spans="2:16">
      <c r="B115" s="7" t="str">
        <f t="shared" si="46"/>
        <v/>
      </c>
      <c r="C115" s="50">
        <f>IF(D93="","-",+C114+1)</f>
        <v>2025</v>
      </c>
      <c r="D115" s="12">
        <f>IF(F114+SUM(E$99:E114)=D$92,F114,D$92-SUM(E$99:E114))</f>
        <v>7549013</v>
      </c>
      <c r="E115" s="355">
        <f>IF(+J96&lt;F114,J96,D115)</f>
        <v>309623</v>
      </c>
      <c r="F115" s="55">
        <f t="shared" ref="F115:F130" si="73">+D115-E115</f>
        <v>7239390</v>
      </c>
      <c r="G115" s="55">
        <f t="shared" ref="G115:G130" si="74">+(F115+D115)/2</f>
        <v>7394201.5</v>
      </c>
      <c r="H115" s="355">
        <f t="shared" ref="H115:H154" si="75">(D115+F115)/2*J$94+E115</f>
        <v>1194125.4184803665</v>
      </c>
      <c r="I115" s="381">
        <f t="shared" ref="I115:I154" si="76">+J$95*G115+E115</f>
        <v>1194125.4184803665</v>
      </c>
      <c r="J115" s="54">
        <f t="shared" si="40"/>
        <v>0</v>
      </c>
      <c r="K115" s="54"/>
      <c r="L115" s="115"/>
      <c r="M115" s="54">
        <f t="shared" si="42"/>
        <v>0</v>
      </c>
      <c r="N115" s="115"/>
      <c r="O115" s="54">
        <f t="shared" si="44"/>
        <v>0</v>
      </c>
      <c r="P115" s="54">
        <f t="shared" si="45"/>
        <v>0</v>
      </c>
    </row>
    <row r="116" spans="2:16">
      <c r="B116" s="7" t="str">
        <f t="shared" si="46"/>
        <v/>
      </c>
      <c r="C116" s="50">
        <f>IF(D93="","-",+C115+1)</f>
        <v>2026</v>
      </c>
      <c r="D116" s="12">
        <f>IF(F115+SUM(E$99:E115)=D$92,F115,D$92-SUM(E$99:E115))</f>
        <v>7239390</v>
      </c>
      <c r="E116" s="355">
        <f>IF(+J96&lt;F115,J96,D116)</f>
        <v>309623</v>
      </c>
      <c r="F116" s="55">
        <f t="shared" si="73"/>
        <v>6929767</v>
      </c>
      <c r="G116" s="55">
        <f t="shared" si="74"/>
        <v>7084578.5</v>
      </c>
      <c r="H116" s="355">
        <f t="shared" si="75"/>
        <v>1157087.9787626164</v>
      </c>
      <c r="I116" s="381">
        <f t="shared" si="76"/>
        <v>1157087.9787626164</v>
      </c>
      <c r="J116" s="54">
        <f t="shared" si="40"/>
        <v>0</v>
      </c>
      <c r="K116" s="54"/>
      <c r="L116" s="115"/>
      <c r="M116" s="54">
        <f t="shared" si="42"/>
        <v>0</v>
      </c>
      <c r="N116" s="115"/>
      <c r="O116" s="54">
        <f t="shared" si="44"/>
        <v>0</v>
      </c>
      <c r="P116" s="54">
        <f t="shared" si="45"/>
        <v>0</v>
      </c>
    </row>
    <row r="117" spans="2:16">
      <c r="B117" s="7" t="str">
        <f t="shared" si="46"/>
        <v/>
      </c>
      <c r="C117" s="50">
        <f>IF(D93="","-",+C116+1)</f>
        <v>2027</v>
      </c>
      <c r="D117" s="12">
        <f>IF(F116+SUM(E$99:E116)=D$92,F116,D$92-SUM(E$99:E116))</f>
        <v>6929767</v>
      </c>
      <c r="E117" s="355">
        <f>IF(+J96&lt;F116,J96,D117)</f>
        <v>309623</v>
      </c>
      <c r="F117" s="55">
        <f t="shared" si="73"/>
        <v>6620144</v>
      </c>
      <c r="G117" s="55">
        <f t="shared" si="74"/>
        <v>6774955.5</v>
      </c>
      <c r="H117" s="355">
        <f t="shared" si="75"/>
        <v>1120050.5390448663</v>
      </c>
      <c r="I117" s="381">
        <f t="shared" si="76"/>
        <v>1120050.5390448663</v>
      </c>
      <c r="J117" s="54">
        <f t="shared" si="40"/>
        <v>0</v>
      </c>
      <c r="K117" s="54"/>
      <c r="L117" s="115"/>
      <c r="M117" s="54">
        <f t="shared" si="42"/>
        <v>0</v>
      </c>
      <c r="N117" s="115"/>
      <c r="O117" s="54">
        <f t="shared" si="44"/>
        <v>0</v>
      </c>
      <c r="P117" s="54">
        <f t="shared" si="45"/>
        <v>0</v>
      </c>
    </row>
    <row r="118" spans="2:16">
      <c r="B118" s="7" t="str">
        <f t="shared" si="46"/>
        <v/>
      </c>
      <c r="C118" s="50">
        <f>IF(D93="","-",+C117+1)</f>
        <v>2028</v>
      </c>
      <c r="D118" s="12">
        <f>IF(F117+SUM(E$99:E117)=D$92,F117,D$92-SUM(E$99:E117))</f>
        <v>6620144</v>
      </c>
      <c r="E118" s="355">
        <f>IF(+J96&lt;F117,J96,D118)</f>
        <v>309623</v>
      </c>
      <c r="F118" s="55">
        <f t="shared" si="73"/>
        <v>6310521</v>
      </c>
      <c r="G118" s="55">
        <f t="shared" si="74"/>
        <v>6465332.5</v>
      </c>
      <c r="H118" s="355">
        <f t="shared" si="75"/>
        <v>1083013.0993271163</v>
      </c>
      <c r="I118" s="381">
        <f t="shared" si="76"/>
        <v>1083013.0993271163</v>
      </c>
      <c r="J118" s="54">
        <f t="shared" si="40"/>
        <v>0</v>
      </c>
      <c r="K118" s="54"/>
      <c r="L118" s="115"/>
      <c r="M118" s="54">
        <f t="shared" si="42"/>
        <v>0</v>
      </c>
      <c r="N118" s="115"/>
      <c r="O118" s="54">
        <f t="shared" si="44"/>
        <v>0</v>
      </c>
      <c r="P118" s="54">
        <f t="shared" si="45"/>
        <v>0</v>
      </c>
    </row>
    <row r="119" spans="2:16">
      <c r="B119" s="7" t="str">
        <f t="shared" si="46"/>
        <v/>
      </c>
      <c r="C119" s="50">
        <f>IF(D93="","-",+C118+1)</f>
        <v>2029</v>
      </c>
      <c r="D119" s="12">
        <f>IF(F118+SUM(E$99:E118)=D$92,F118,D$92-SUM(E$99:E118))</f>
        <v>6310521</v>
      </c>
      <c r="E119" s="355">
        <f>IF(+J96&lt;F118,J96,D119)</f>
        <v>309623</v>
      </c>
      <c r="F119" s="55">
        <f t="shared" si="73"/>
        <v>6000898</v>
      </c>
      <c r="G119" s="55">
        <f t="shared" si="74"/>
        <v>6155709.5</v>
      </c>
      <c r="H119" s="355">
        <f t="shared" si="75"/>
        <v>1045975.6596093664</v>
      </c>
      <c r="I119" s="381">
        <f t="shared" si="76"/>
        <v>1045975.6596093664</v>
      </c>
      <c r="J119" s="54">
        <f t="shared" si="40"/>
        <v>0</v>
      </c>
      <c r="K119" s="54"/>
      <c r="L119" s="115"/>
      <c r="M119" s="54">
        <f t="shared" si="42"/>
        <v>0</v>
      </c>
      <c r="N119" s="115"/>
      <c r="O119" s="54">
        <f t="shared" si="44"/>
        <v>0</v>
      </c>
      <c r="P119" s="54">
        <f t="shared" si="45"/>
        <v>0</v>
      </c>
    </row>
    <row r="120" spans="2:16">
      <c r="B120" s="7" t="str">
        <f t="shared" si="46"/>
        <v/>
      </c>
      <c r="C120" s="50">
        <f>IF(D93="","-",+C119+1)</f>
        <v>2030</v>
      </c>
      <c r="D120" s="12">
        <f>IF(F119+SUM(E$99:E119)=D$92,F119,D$92-SUM(E$99:E119))</f>
        <v>6000898</v>
      </c>
      <c r="E120" s="355">
        <f>IF(+J96&lt;F119,J96,D120)</f>
        <v>309623</v>
      </c>
      <c r="F120" s="55">
        <f t="shared" si="73"/>
        <v>5691275</v>
      </c>
      <c r="G120" s="55">
        <f t="shared" si="74"/>
        <v>5846086.5</v>
      </c>
      <c r="H120" s="355">
        <f t="shared" si="75"/>
        <v>1008938.2198916165</v>
      </c>
      <c r="I120" s="381">
        <f t="shared" si="76"/>
        <v>1008938.2198916165</v>
      </c>
      <c r="J120" s="54">
        <f t="shared" si="40"/>
        <v>0</v>
      </c>
      <c r="K120" s="54"/>
      <c r="L120" s="115"/>
      <c r="M120" s="54">
        <f t="shared" si="42"/>
        <v>0</v>
      </c>
      <c r="N120" s="115"/>
      <c r="O120" s="54">
        <f t="shared" si="44"/>
        <v>0</v>
      </c>
      <c r="P120" s="54">
        <f t="shared" si="45"/>
        <v>0</v>
      </c>
    </row>
    <row r="121" spans="2:16">
      <c r="B121" s="7" t="str">
        <f t="shared" si="46"/>
        <v/>
      </c>
      <c r="C121" s="50">
        <f>IF(D93="","-",+C120+1)</f>
        <v>2031</v>
      </c>
      <c r="D121" s="12">
        <f>IF(F120+SUM(E$99:E120)=D$92,F120,D$92-SUM(E$99:E120))</f>
        <v>5691275</v>
      </c>
      <c r="E121" s="355">
        <f>IF(+J96&lt;F120,J96,D121)</f>
        <v>309623</v>
      </c>
      <c r="F121" s="55">
        <f t="shared" si="73"/>
        <v>5381652</v>
      </c>
      <c r="G121" s="55">
        <f t="shared" si="74"/>
        <v>5536463.5</v>
      </c>
      <c r="H121" s="355">
        <f t="shared" si="75"/>
        <v>971900.78017386654</v>
      </c>
      <c r="I121" s="381">
        <f t="shared" si="76"/>
        <v>971900.78017386654</v>
      </c>
      <c r="J121" s="54">
        <f t="shared" si="40"/>
        <v>0</v>
      </c>
      <c r="K121" s="54"/>
      <c r="L121" s="115"/>
      <c r="M121" s="54">
        <f t="shared" si="42"/>
        <v>0</v>
      </c>
      <c r="N121" s="115"/>
      <c r="O121" s="54">
        <f t="shared" si="44"/>
        <v>0</v>
      </c>
      <c r="P121" s="54">
        <f t="shared" si="45"/>
        <v>0</v>
      </c>
    </row>
    <row r="122" spans="2:16">
      <c r="B122" s="7" t="str">
        <f t="shared" si="46"/>
        <v/>
      </c>
      <c r="C122" s="50">
        <f>IF(D93="","-",+C121+1)</f>
        <v>2032</v>
      </c>
      <c r="D122" s="12">
        <f>IF(F121+SUM(E$99:E121)=D$92,F121,D$92-SUM(E$99:E121))</f>
        <v>5381652</v>
      </c>
      <c r="E122" s="355">
        <f>IF(+J96&lt;F121,J96,D122)</f>
        <v>309623</v>
      </c>
      <c r="F122" s="55">
        <f t="shared" si="73"/>
        <v>5072029</v>
      </c>
      <c r="G122" s="55">
        <f t="shared" si="74"/>
        <v>5226840.5</v>
      </c>
      <c r="H122" s="355">
        <f t="shared" si="75"/>
        <v>934863.34045611648</v>
      </c>
      <c r="I122" s="381">
        <f t="shared" si="76"/>
        <v>934863.34045611648</v>
      </c>
      <c r="J122" s="54">
        <f t="shared" si="40"/>
        <v>0</v>
      </c>
      <c r="K122" s="54"/>
      <c r="L122" s="115"/>
      <c r="M122" s="54">
        <f t="shared" si="42"/>
        <v>0</v>
      </c>
      <c r="N122" s="115"/>
      <c r="O122" s="54">
        <f t="shared" si="44"/>
        <v>0</v>
      </c>
      <c r="P122" s="54">
        <f t="shared" si="45"/>
        <v>0</v>
      </c>
    </row>
    <row r="123" spans="2:16">
      <c r="B123" s="7" t="str">
        <f t="shared" si="46"/>
        <v/>
      </c>
      <c r="C123" s="50">
        <f>IF(D93="","-",+C122+1)</f>
        <v>2033</v>
      </c>
      <c r="D123" s="12">
        <f>IF(F122+SUM(E$99:E122)=D$92,F122,D$92-SUM(E$99:E122))</f>
        <v>5072029</v>
      </c>
      <c r="E123" s="355">
        <f>IF(+J96&lt;F122,J96,D123)</f>
        <v>309623</v>
      </c>
      <c r="F123" s="55">
        <f t="shared" si="73"/>
        <v>4762406</v>
      </c>
      <c r="G123" s="55">
        <f t="shared" si="74"/>
        <v>4917217.5</v>
      </c>
      <c r="H123" s="355">
        <f t="shared" si="75"/>
        <v>897825.90073836653</v>
      </c>
      <c r="I123" s="381">
        <f t="shared" si="76"/>
        <v>897825.90073836653</v>
      </c>
      <c r="J123" s="54">
        <f t="shared" si="40"/>
        <v>0</v>
      </c>
      <c r="K123" s="54"/>
      <c r="L123" s="115"/>
      <c r="M123" s="54">
        <f t="shared" si="42"/>
        <v>0</v>
      </c>
      <c r="N123" s="115"/>
      <c r="O123" s="54">
        <f t="shared" si="44"/>
        <v>0</v>
      </c>
      <c r="P123" s="54">
        <f t="shared" si="45"/>
        <v>0</v>
      </c>
    </row>
    <row r="124" spans="2:16">
      <c r="B124" s="7" t="str">
        <f t="shared" si="46"/>
        <v/>
      </c>
      <c r="C124" s="50">
        <f>IF(D93="","-",+C123+1)</f>
        <v>2034</v>
      </c>
      <c r="D124" s="12">
        <f>IF(F123+SUM(E$99:E123)=D$92,F123,D$92-SUM(E$99:E123))</f>
        <v>4762406</v>
      </c>
      <c r="E124" s="355">
        <f>IF(+J96&lt;F123,J96,D124)</f>
        <v>309623</v>
      </c>
      <c r="F124" s="55">
        <f t="shared" si="73"/>
        <v>4452783</v>
      </c>
      <c r="G124" s="55">
        <f t="shared" si="74"/>
        <v>4607594.5</v>
      </c>
      <c r="H124" s="355">
        <f t="shared" si="75"/>
        <v>860788.46102061658</v>
      </c>
      <c r="I124" s="381">
        <f t="shared" si="76"/>
        <v>860788.46102061658</v>
      </c>
      <c r="J124" s="54">
        <f t="shared" si="40"/>
        <v>0</v>
      </c>
      <c r="K124" s="54"/>
      <c r="L124" s="115"/>
      <c r="M124" s="54">
        <f t="shared" si="42"/>
        <v>0</v>
      </c>
      <c r="N124" s="115"/>
      <c r="O124" s="54">
        <f t="shared" si="44"/>
        <v>0</v>
      </c>
      <c r="P124" s="54">
        <f t="shared" si="45"/>
        <v>0</v>
      </c>
    </row>
    <row r="125" spans="2:16">
      <c r="B125" s="7" t="str">
        <f t="shared" si="46"/>
        <v/>
      </c>
      <c r="C125" s="50">
        <f>IF(D93="","-",+C124+1)</f>
        <v>2035</v>
      </c>
      <c r="D125" s="12">
        <f>IF(F124+SUM(E$99:E124)=D$92,F124,D$92-SUM(E$99:E124))</f>
        <v>4452783</v>
      </c>
      <c r="E125" s="355">
        <f>IF(+J96&lt;F124,J96,D125)</f>
        <v>309623</v>
      </c>
      <c r="F125" s="55">
        <f t="shared" si="73"/>
        <v>4143160</v>
      </c>
      <c r="G125" s="55">
        <f t="shared" si="74"/>
        <v>4297971.5</v>
      </c>
      <c r="H125" s="355">
        <f t="shared" si="75"/>
        <v>823751.02130286652</v>
      </c>
      <c r="I125" s="381">
        <f t="shared" si="76"/>
        <v>823751.02130286652</v>
      </c>
      <c r="J125" s="54">
        <f t="shared" si="40"/>
        <v>0</v>
      </c>
      <c r="K125" s="54"/>
      <c r="L125" s="115"/>
      <c r="M125" s="54">
        <f t="shared" si="42"/>
        <v>0</v>
      </c>
      <c r="N125" s="115"/>
      <c r="O125" s="54">
        <f t="shared" si="44"/>
        <v>0</v>
      </c>
      <c r="P125" s="54">
        <f t="shared" si="45"/>
        <v>0</v>
      </c>
    </row>
    <row r="126" spans="2:16">
      <c r="B126" s="7" t="str">
        <f t="shared" si="46"/>
        <v/>
      </c>
      <c r="C126" s="50">
        <f>IF(D93="","-",+C125+1)</f>
        <v>2036</v>
      </c>
      <c r="D126" s="12">
        <f>IF(F125+SUM(E$99:E125)=D$92,F125,D$92-SUM(E$99:E125))</f>
        <v>4143160</v>
      </c>
      <c r="E126" s="355">
        <f>IF(+J96&lt;F125,J96,D126)</f>
        <v>309623</v>
      </c>
      <c r="F126" s="55">
        <f t="shared" si="73"/>
        <v>3833537</v>
      </c>
      <c r="G126" s="55">
        <f t="shared" si="74"/>
        <v>3988348.5</v>
      </c>
      <c r="H126" s="355">
        <f t="shared" si="75"/>
        <v>786713.58158511668</v>
      </c>
      <c r="I126" s="381">
        <f t="shared" si="76"/>
        <v>786713.58158511668</v>
      </c>
      <c r="J126" s="54">
        <f t="shared" si="40"/>
        <v>0</v>
      </c>
      <c r="K126" s="54"/>
      <c r="L126" s="115"/>
      <c r="M126" s="54">
        <f t="shared" si="42"/>
        <v>0</v>
      </c>
      <c r="N126" s="115"/>
      <c r="O126" s="54">
        <f t="shared" si="44"/>
        <v>0</v>
      </c>
      <c r="P126" s="54">
        <f t="shared" si="45"/>
        <v>0</v>
      </c>
    </row>
    <row r="127" spans="2:16">
      <c r="B127" s="7" t="str">
        <f t="shared" si="46"/>
        <v/>
      </c>
      <c r="C127" s="50">
        <f>IF(D93="","-",+C126+1)</f>
        <v>2037</v>
      </c>
      <c r="D127" s="12">
        <f>IF(F126+SUM(E$99:E126)=D$92,F126,D$92-SUM(E$99:E126))</f>
        <v>3833537</v>
      </c>
      <c r="E127" s="355">
        <f>IF(+J96&lt;F126,J96,D127)</f>
        <v>309623</v>
      </c>
      <c r="F127" s="55">
        <f t="shared" si="73"/>
        <v>3523914</v>
      </c>
      <c r="G127" s="55">
        <f t="shared" si="74"/>
        <v>3678725.5</v>
      </c>
      <c r="H127" s="355">
        <f t="shared" si="75"/>
        <v>749676.14186736662</v>
      </c>
      <c r="I127" s="381">
        <f t="shared" si="76"/>
        <v>749676.14186736662</v>
      </c>
      <c r="J127" s="54">
        <f t="shared" si="40"/>
        <v>0</v>
      </c>
      <c r="K127" s="54"/>
      <c r="L127" s="115"/>
      <c r="M127" s="54">
        <f t="shared" si="42"/>
        <v>0</v>
      </c>
      <c r="N127" s="115"/>
      <c r="O127" s="54">
        <f t="shared" si="44"/>
        <v>0</v>
      </c>
      <c r="P127" s="54">
        <f t="shared" si="45"/>
        <v>0</v>
      </c>
    </row>
    <row r="128" spans="2:16">
      <c r="B128" s="7" t="str">
        <f t="shared" si="46"/>
        <v/>
      </c>
      <c r="C128" s="50">
        <f>IF(D93="","-",+C127+1)</f>
        <v>2038</v>
      </c>
      <c r="D128" s="12">
        <f>IF(F127+SUM(E$99:E127)=D$92,F127,D$92-SUM(E$99:E127))</f>
        <v>3523914</v>
      </c>
      <c r="E128" s="355">
        <f>IF(+J96&lt;F127,J96,D128)</f>
        <v>309623</v>
      </c>
      <c r="F128" s="55">
        <f t="shared" si="73"/>
        <v>3214291</v>
      </c>
      <c r="G128" s="55">
        <f t="shared" si="74"/>
        <v>3369102.5</v>
      </c>
      <c r="H128" s="355">
        <f t="shared" si="75"/>
        <v>712638.70214961655</v>
      </c>
      <c r="I128" s="381">
        <f t="shared" si="76"/>
        <v>712638.70214961655</v>
      </c>
      <c r="J128" s="54">
        <f t="shared" si="40"/>
        <v>0</v>
      </c>
      <c r="K128" s="54"/>
      <c r="L128" s="115"/>
      <c r="M128" s="54">
        <f t="shared" si="42"/>
        <v>0</v>
      </c>
      <c r="N128" s="115"/>
      <c r="O128" s="54">
        <f t="shared" si="44"/>
        <v>0</v>
      </c>
      <c r="P128" s="54">
        <f t="shared" si="45"/>
        <v>0</v>
      </c>
    </row>
    <row r="129" spans="2:16">
      <c r="B129" s="7" t="str">
        <f t="shared" si="46"/>
        <v/>
      </c>
      <c r="C129" s="50">
        <f>IF(D93="","-",+C128+1)</f>
        <v>2039</v>
      </c>
      <c r="D129" s="12">
        <f>IF(F128+SUM(E$99:E128)=D$92,F128,D$92-SUM(E$99:E128))</f>
        <v>3214291</v>
      </c>
      <c r="E129" s="355">
        <f>IF(+J96&lt;F128,J96,D129)</f>
        <v>309623</v>
      </c>
      <c r="F129" s="55">
        <f t="shared" si="73"/>
        <v>2904668</v>
      </c>
      <c r="G129" s="55">
        <f t="shared" si="74"/>
        <v>3059479.5</v>
      </c>
      <c r="H129" s="355">
        <f t="shared" si="75"/>
        <v>675601.26243186672</v>
      </c>
      <c r="I129" s="381">
        <f t="shared" si="76"/>
        <v>675601.26243186672</v>
      </c>
      <c r="J129" s="54">
        <f t="shared" si="40"/>
        <v>0</v>
      </c>
      <c r="K129" s="54"/>
      <c r="L129" s="115"/>
      <c r="M129" s="54">
        <f t="shared" si="42"/>
        <v>0</v>
      </c>
      <c r="N129" s="115"/>
      <c r="O129" s="54">
        <f t="shared" si="44"/>
        <v>0</v>
      </c>
      <c r="P129" s="54">
        <f t="shared" si="45"/>
        <v>0</v>
      </c>
    </row>
    <row r="130" spans="2:16">
      <c r="B130" s="7" t="str">
        <f t="shared" si="46"/>
        <v/>
      </c>
      <c r="C130" s="50">
        <f>IF(D93="","-",+C129+1)</f>
        <v>2040</v>
      </c>
      <c r="D130" s="12">
        <f>IF(F129+SUM(E$99:E129)=D$92,F129,D$92-SUM(E$99:E129))</f>
        <v>2904668</v>
      </c>
      <c r="E130" s="355">
        <f>IF(+J96&lt;F129,J96,D130)</f>
        <v>309623</v>
      </c>
      <c r="F130" s="55">
        <f t="shared" si="73"/>
        <v>2595045</v>
      </c>
      <c r="G130" s="55">
        <f t="shared" si="74"/>
        <v>2749856.5</v>
      </c>
      <c r="H130" s="355">
        <f t="shared" si="75"/>
        <v>638563.82271411666</v>
      </c>
      <c r="I130" s="381">
        <f t="shared" si="76"/>
        <v>638563.82271411666</v>
      </c>
      <c r="J130" s="54">
        <f t="shared" si="40"/>
        <v>0</v>
      </c>
      <c r="K130" s="54"/>
      <c r="L130" s="115"/>
      <c r="M130" s="54">
        <f t="shared" si="42"/>
        <v>0</v>
      </c>
      <c r="N130" s="115"/>
      <c r="O130" s="54">
        <f t="shared" si="44"/>
        <v>0</v>
      </c>
      <c r="P130" s="54">
        <f t="shared" si="45"/>
        <v>0</v>
      </c>
    </row>
    <row r="131" spans="2:16">
      <c r="B131" s="7" t="str">
        <f t="shared" si="46"/>
        <v/>
      </c>
      <c r="C131" s="50">
        <f>IF(D93="","-",+C130+1)</f>
        <v>2041</v>
      </c>
      <c r="D131" s="12">
        <f>IF(F130+SUM(E$99:E130)=D$92,F130,D$92-SUM(E$99:E130))</f>
        <v>2595045</v>
      </c>
      <c r="E131" s="355">
        <f>IF(+J96&lt;F130,J96,D131)</f>
        <v>309623</v>
      </c>
      <c r="F131" s="55">
        <f t="shared" ref="F131:F154" si="77">+D131-E131</f>
        <v>2285422</v>
      </c>
      <c r="G131" s="55">
        <f t="shared" ref="G131:G154" si="78">+(F131+D131)/2</f>
        <v>2440233.5</v>
      </c>
      <c r="H131" s="355">
        <f t="shared" si="75"/>
        <v>601526.38299636671</v>
      </c>
      <c r="I131" s="381">
        <f t="shared" si="76"/>
        <v>601526.38299636671</v>
      </c>
      <c r="J131" s="54">
        <f t="shared" ref="J131:J154" si="79">+I131-H131</f>
        <v>0</v>
      </c>
      <c r="K131" s="54"/>
      <c r="L131" s="115"/>
      <c r="M131" s="54">
        <f t="shared" ref="M131:M154" si="80">IF(L131&lt;&gt;0,+H131-L131,0)</f>
        <v>0</v>
      </c>
      <c r="N131" s="115"/>
      <c r="O131" s="54">
        <f t="shared" ref="O131:O154" si="81">IF(N131&lt;&gt;0,+I131-N131,0)</f>
        <v>0</v>
      </c>
      <c r="P131" s="54">
        <f t="shared" ref="P131:P154" si="82">+O131-M131</f>
        <v>0</v>
      </c>
    </row>
    <row r="132" spans="2:16">
      <c r="B132" s="7" t="str">
        <f t="shared" si="46"/>
        <v/>
      </c>
      <c r="C132" s="50">
        <f>IF(D93="","-",+C131+1)</f>
        <v>2042</v>
      </c>
      <c r="D132" s="12">
        <f>IF(F131+SUM(E$99:E131)=D$92,F131,D$92-SUM(E$99:E131))</f>
        <v>2285422</v>
      </c>
      <c r="E132" s="355">
        <f>IF(+J96&lt;F131,J96,D132)</f>
        <v>309623</v>
      </c>
      <c r="F132" s="55">
        <f t="shared" si="77"/>
        <v>1975799</v>
      </c>
      <c r="G132" s="55">
        <f t="shared" si="78"/>
        <v>2130610.5</v>
      </c>
      <c r="H132" s="355">
        <f t="shared" si="75"/>
        <v>564488.94327861676</v>
      </c>
      <c r="I132" s="381">
        <f t="shared" si="76"/>
        <v>564488.94327861676</v>
      </c>
      <c r="J132" s="54">
        <f t="shared" si="79"/>
        <v>0</v>
      </c>
      <c r="K132" s="54"/>
      <c r="L132" s="115"/>
      <c r="M132" s="54">
        <f t="shared" si="80"/>
        <v>0</v>
      </c>
      <c r="N132" s="115"/>
      <c r="O132" s="54">
        <f t="shared" si="81"/>
        <v>0</v>
      </c>
      <c r="P132" s="54">
        <f t="shared" si="82"/>
        <v>0</v>
      </c>
    </row>
    <row r="133" spans="2:16">
      <c r="B133" s="7" t="str">
        <f t="shared" si="46"/>
        <v/>
      </c>
      <c r="C133" s="50">
        <f>IF(D93="","-",+C132+1)</f>
        <v>2043</v>
      </c>
      <c r="D133" s="12">
        <f>IF(F132+SUM(E$99:E132)=D$92,F132,D$92-SUM(E$99:E132))</f>
        <v>1975799</v>
      </c>
      <c r="E133" s="355">
        <f>IF(+J96&lt;F132,J96,D133)</f>
        <v>309623</v>
      </c>
      <c r="F133" s="55">
        <f t="shared" si="77"/>
        <v>1666176</v>
      </c>
      <c r="G133" s="55">
        <f t="shared" si="78"/>
        <v>1820987.5</v>
      </c>
      <c r="H133" s="355">
        <f t="shared" si="75"/>
        <v>527451.50356086669</v>
      </c>
      <c r="I133" s="381">
        <f t="shared" si="76"/>
        <v>527451.50356086669</v>
      </c>
      <c r="J133" s="54">
        <f t="shared" si="79"/>
        <v>0</v>
      </c>
      <c r="K133" s="54"/>
      <c r="L133" s="115"/>
      <c r="M133" s="54">
        <f t="shared" si="80"/>
        <v>0</v>
      </c>
      <c r="N133" s="115"/>
      <c r="O133" s="54">
        <f t="shared" si="81"/>
        <v>0</v>
      </c>
      <c r="P133" s="54">
        <f t="shared" si="82"/>
        <v>0</v>
      </c>
    </row>
    <row r="134" spans="2:16">
      <c r="B134" s="7" t="str">
        <f t="shared" si="46"/>
        <v/>
      </c>
      <c r="C134" s="50">
        <f>IF(D93="","-",+C133+1)</f>
        <v>2044</v>
      </c>
      <c r="D134" s="12">
        <f>IF(F133+SUM(E$99:E133)=D$92,F133,D$92-SUM(E$99:E133))</f>
        <v>1666176</v>
      </c>
      <c r="E134" s="355">
        <f>IF(+J96&lt;F133,J96,D134)</f>
        <v>309623</v>
      </c>
      <c r="F134" s="55">
        <f t="shared" si="77"/>
        <v>1356553</v>
      </c>
      <c r="G134" s="55">
        <f t="shared" si="78"/>
        <v>1511364.5</v>
      </c>
      <c r="H134" s="355">
        <f t="shared" si="75"/>
        <v>490414.06384311675</v>
      </c>
      <c r="I134" s="381">
        <f t="shared" si="76"/>
        <v>490414.06384311675</v>
      </c>
      <c r="J134" s="54">
        <f t="shared" si="79"/>
        <v>0</v>
      </c>
      <c r="K134" s="54"/>
      <c r="L134" s="115"/>
      <c r="M134" s="54">
        <f t="shared" si="80"/>
        <v>0</v>
      </c>
      <c r="N134" s="115"/>
      <c r="O134" s="54">
        <f t="shared" si="81"/>
        <v>0</v>
      </c>
      <c r="P134" s="54">
        <f t="shared" si="82"/>
        <v>0</v>
      </c>
    </row>
    <row r="135" spans="2:16">
      <c r="B135" s="7" t="str">
        <f t="shared" si="46"/>
        <v/>
      </c>
      <c r="C135" s="50">
        <f>IF(D93="","-",+C134+1)</f>
        <v>2045</v>
      </c>
      <c r="D135" s="12">
        <f>IF(F134+SUM(E$99:E134)=D$92,F134,D$92-SUM(E$99:E134))</f>
        <v>1356553</v>
      </c>
      <c r="E135" s="355">
        <f>IF(+J96&lt;F134,J96,D135)</f>
        <v>309623</v>
      </c>
      <c r="F135" s="55">
        <f t="shared" si="77"/>
        <v>1046930</v>
      </c>
      <c r="G135" s="55">
        <f t="shared" si="78"/>
        <v>1201741.5</v>
      </c>
      <c r="H135" s="355">
        <f t="shared" si="75"/>
        <v>453376.6241253668</v>
      </c>
      <c r="I135" s="381">
        <f t="shared" si="76"/>
        <v>453376.6241253668</v>
      </c>
      <c r="J135" s="54">
        <f t="shared" si="79"/>
        <v>0</v>
      </c>
      <c r="K135" s="54"/>
      <c r="L135" s="115"/>
      <c r="M135" s="54">
        <f t="shared" si="80"/>
        <v>0</v>
      </c>
      <c r="N135" s="115"/>
      <c r="O135" s="54">
        <f t="shared" si="81"/>
        <v>0</v>
      </c>
      <c r="P135" s="54">
        <f t="shared" si="82"/>
        <v>0</v>
      </c>
    </row>
    <row r="136" spans="2:16">
      <c r="B136" s="7" t="str">
        <f t="shared" si="46"/>
        <v/>
      </c>
      <c r="C136" s="50">
        <f>IF(D93="","-",+C135+1)</f>
        <v>2046</v>
      </c>
      <c r="D136" s="12">
        <f>IF(F135+SUM(E$99:E135)=D$92,F135,D$92-SUM(E$99:E135))</f>
        <v>1046930</v>
      </c>
      <c r="E136" s="355">
        <f>IF(+J96&lt;F135,J96,D136)</f>
        <v>309623</v>
      </c>
      <c r="F136" s="55">
        <f t="shared" si="77"/>
        <v>737307</v>
      </c>
      <c r="G136" s="55">
        <f t="shared" si="78"/>
        <v>892118.5</v>
      </c>
      <c r="H136" s="355">
        <f t="shared" si="75"/>
        <v>416339.18440761679</v>
      </c>
      <c r="I136" s="381">
        <f t="shared" si="76"/>
        <v>416339.18440761679</v>
      </c>
      <c r="J136" s="54">
        <f t="shared" si="79"/>
        <v>0</v>
      </c>
      <c r="K136" s="54"/>
      <c r="L136" s="115"/>
      <c r="M136" s="54">
        <f t="shared" si="80"/>
        <v>0</v>
      </c>
      <c r="N136" s="115"/>
      <c r="O136" s="54">
        <f t="shared" si="81"/>
        <v>0</v>
      </c>
      <c r="P136" s="54">
        <f t="shared" si="82"/>
        <v>0</v>
      </c>
    </row>
    <row r="137" spans="2:16">
      <c r="B137" s="7" t="str">
        <f t="shared" si="46"/>
        <v/>
      </c>
      <c r="C137" s="50">
        <f>IF(D93="","-",+C136+1)</f>
        <v>2047</v>
      </c>
      <c r="D137" s="12">
        <f>IF(F136+SUM(E$99:E136)=D$92,F136,D$92-SUM(E$99:E136))</f>
        <v>737307</v>
      </c>
      <c r="E137" s="355">
        <f>IF(+J96&lt;F136,J96,D137)</f>
        <v>309623</v>
      </c>
      <c r="F137" s="55">
        <f t="shared" si="77"/>
        <v>427684</v>
      </c>
      <c r="G137" s="55">
        <f t="shared" si="78"/>
        <v>582495.5</v>
      </c>
      <c r="H137" s="355">
        <f t="shared" si="75"/>
        <v>379301.74468986678</v>
      </c>
      <c r="I137" s="381">
        <f t="shared" si="76"/>
        <v>379301.74468986678</v>
      </c>
      <c r="J137" s="54">
        <f t="shared" si="79"/>
        <v>0</v>
      </c>
      <c r="K137" s="54"/>
      <c r="L137" s="115"/>
      <c r="M137" s="54">
        <f t="shared" si="80"/>
        <v>0</v>
      </c>
      <c r="N137" s="115"/>
      <c r="O137" s="54">
        <f t="shared" si="81"/>
        <v>0</v>
      </c>
      <c r="P137" s="54">
        <f t="shared" si="82"/>
        <v>0</v>
      </c>
    </row>
    <row r="138" spans="2:16">
      <c r="B138" s="7" t="str">
        <f t="shared" si="46"/>
        <v/>
      </c>
      <c r="C138" s="50">
        <f>IF(D93="","-",+C137+1)</f>
        <v>2048</v>
      </c>
      <c r="D138" s="12">
        <f>IF(F137+SUM(E$99:E137)=D$92,F137,D$92-SUM(E$99:E137))</f>
        <v>427684</v>
      </c>
      <c r="E138" s="355">
        <f>IF(+J96&lt;F137,J96,D138)</f>
        <v>309623</v>
      </c>
      <c r="F138" s="55">
        <f t="shared" si="77"/>
        <v>118061</v>
      </c>
      <c r="G138" s="55">
        <f t="shared" si="78"/>
        <v>272872.5</v>
      </c>
      <c r="H138" s="355">
        <f t="shared" si="75"/>
        <v>342264.30497211684</v>
      </c>
      <c r="I138" s="381">
        <f t="shared" si="76"/>
        <v>342264.30497211684</v>
      </c>
      <c r="J138" s="54">
        <f t="shared" si="79"/>
        <v>0</v>
      </c>
      <c r="K138" s="54"/>
      <c r="L138" s="115"/>
      <c r="M138" s="54">
        <f t="shared" si="80"/>
        <v>0</v>
      </c>
      <c r="N138" s="115"/>
      <c r="O138" s="54">
        <f t="shared" si="81"/>
        <v>0</v>
      </c>
      <c r="P138" s="54">
        <f t="shared" si="82"/>
        <v>0</v>
      </c>
    </row>
    <row r="139" spans="2:16">
      <c r="B139" s="7" t="str">
        <f t="shared" si="46"/>
        <v/>
      </c>
      <c r="C139" s="50">
        <f>IF(D93="","-",+C138+1)</f>
        <v>2049</v>
      </c>
      <c r="D139" s="12">
        <f>IF(F138+SUM(E$99:E138)=D$92,F138,D$92-SUM(E$99:E138))</f>
        <v>118061</v>
      </c>
      <c r="E139" s="355">
        <f>IF(+J96&lt;F138,J96,D139)</f>
        <v>118061</v>
      </c>
      <c r="F139" s="55">
        <f t="shared" si="77"/>
        <v>0</v>
      </c>
      <c r="G139" s="55">
        <f t="shared" si="78"/>
        <v>59030.5</v>
      </c>
      <c r="H139" s="355">
        <f t="shared" si="75"/>
        <v>125122.29255662093</v>
      </c>
      <c r="I139" s="381">
        <f t="shared" si="76"/>
        <v>125122.29255662093</v>
      </c>
      <c r="J139" s="54">
        <f t="shared" si="79"/>
        <v>0</v>
      </c>
      <c r="K139" s="54"/>
      <c r="L139" s="115"/>
      <c r="M139" s="54">
        <f t="shared" si="80"/>
        <v>0</v>
      </c>
      <c r="N139" s="115"/>
      <c r="O139" s="54">
        <f t="shared" si="81"/>
        <v>0</v>
      </c>
      <c r="P139" s="54">
        <f t="shared" si="82"/>
        <v>0</v>
      </c>
    </row>
    <row r="140" spans="2:16">
      <c r="B140" s="7" t="str">
        <f t="shared" si="46"/>
        <v/>
      </c>
      <c r="C140" s="50">
        <f>IF(D93="","-",+C139+1)</f>
        <v>2050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7"/>
        <v>0</v>
      </c>
      <c r="G140" s="55">
        <f t="shared" si="78"/>
        <v>0</v>
      </c>
      <c r="H140" s="355">
        <f t="shared" si="75"/>
        <v>0</v>
      </c>
      <c r="I140" s="381">
        <f t="shared" si="76"/>
        <v>0</v>
      </c>
      <c r="J140" s="54">
        <f t="shared" si="79"/>
        <v>0</v>
      </c>
      <c r="K140" s="54"/>
      <c r="L140" s="115"/>
      <c r="M140" s="54">
        <f t="shared" si="80"/>
        <v>0</v>
      </c>
      <c r="N140" s="115"/>
      <c r="O140" s="54">
        <f t="shared" si="81"/>
        <v>0</v>
      </c>
      <c r="P140" s="54">
        <f t="shared" si="82"/>
        <v>0</v>
      </c>
    </row>
    <row r="141" spans="2:16">
      <c r="B141" s="7" t="str">
        <f t="shared" si="46"/>
        <v/>
      </c>
      <c r="C141" s="50">
        <f>IF(D93="","-",+C140+1)</f>
        <v>2051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7"/>
        <v>0</v>
      </c>
      <c r="G141" s="55">
        <f t="shared" si="78"/>
        <v>0</v>
      </c>
      <c r="H141" s="355">
        <f t="shared" si="75"/>
        <v>0</v>
      </c>
      <c r="I141" s="381">
        <f t="shared" si="76"/>
        <v>0</v>
      </c>
      <c r="J141" s="54">
        <f t="shared" si="79"/>
        <v>0</v>
      </c>
      <c r="K141" s="54"/>
      <c r="L141" s="115"/>
      <c r="M141" s="54">
        <f t="shared" si="80"/>
        <v>0</v>
      </c>
      <c r="N141" s="115"/>
      <c r="O141" s="54">
        <f t="shared" si="81"/>
        <v>0</v>
      </c>
      <c r="P141" s="54">
        <f t="shared" si="82"/>
        <v>0</v>
      </c>
    </row>
    <row r="142" spans="2:16">
      <c r="B142" s="7" t="str">
        <f t="shared" si="46"/>
        <v/>
      </c>
      <c r="C142" s="50">
        <f>IF(D93="","-",+C141+1)</f>
        <v>2052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7"/>
        <v>0</v>
      </c>
      <c r="G142" s="55">
        <f t="shared" si="78"/>
        <v>0</v>
      </c>
      <c r="H142" s="355">
        <f t="shared" si="75"/>
        <v>0</v>
      </c>
      <c r="I142" s="381">
        <f t="shared" si="76"/>
        <v>0</v>
      </c>
      <c r="J142" s="54">
        <f t="shared" si="79"/>
        <v>0</v>
      </c>
      <c r="K142" s="54"/>
      <c r="L142" s="115"/>
      <c r="M142" s="54">
        <f t="shared" si="80"/>
        <v>0</v>
      </c>
      <c r="N142" s="115"/>
      <c r="O142" s="54">
        <f t="shared" si="81"/>
        <v>0</v>
      </c>
      <c r="P142" s="54">
        <f t="shared" si="82"/>
        <v>0</v>
      </c>
    </row>
    <row r="143" spans="2:16">
      <c r="B143" s="7" t="str">
        <f t="shared" si="46"/>
        <v/>
      </c>
      <c r="C143" s="50">
        <f>IF(D93="","-",+C142+1)</f>
        <v>2053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7"/>
        <v>0</v>
      </c>
      <c r="G143" s="55">
        <f t="shared" si="78"/>
        <v>0</v>
      </c>
      <c r="H143" s="355">
        <f t="shared" si="75"/>
        <v>0</v>
      </c>
      <c r="I143" s="381">
        <f t="shared" si="76"/>
        <v>0</v>
      </c>
      <c r="J143" s="54">
        <f t="shared" si="79"/>
        <v>0</v>
      </c>
      <c r="K143" s="54"/>
      <c r="L143" s="115"/>
      <c r="M143" s="54">
        <f t="shared" si="80"/>
        <v>0</v>
      </c>
      <c r="N143" s="115"/>
      <c r="O143" s="54">
        <f t="shared" si="81"/>
        <v>0</v>
      </c>
      <c r="P143" s="54">
        <f t="shared" si="82"/>
        <v>0</v>
      </c>
    </row>
    <row r="144" spans="2:16">
      <c r="B144" s="7" t="str">
        <f t="shared" si="46"/>
        <v/>
      </c>
      <c r="C144" s="50">
        <f>IF(D93="","-",+C143+1)</f>
        <v>2054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7"/>
        <v>0</v>
      </c>
      <c r="G144" s="55">
        <f t="shared" si="78"/>
        <v>0</v>
      </c>
      <c r="H144" s="355">
        <f t="shared" si="75"/>
        <v>0</v>
      </c>
      <c r="I144" s="381">
        <f t="shared" si="76"/>
        <v>0</v>
      </c>
      <c r="J144" s="54">
        <f t="shared" si="79"/>
        <v>0</v>
      </c>
      <c r="K144" s="54"/>
      <c r="L144" s="115"/>
      <c r="M144" s="54">
        <f t="shared" si="80"/>
        <v>0</v>
      </c>
      <c r="N144" s="115"/>
      <c r="O144" s="54">
        <f t="shared" si="81"/>
        <v>0</v>
      </c>
      <c r="P144" s="54">
        <f t="shared" si="82"/>
        <v>0</v>
      </c>
    </row>
    <row r="145" spans="2:16">
      <c r="B145" s="7" t="str">
        <f t="shared" si="46"/>
        <v/>
      </c>
      <c r="C145" s="50">
        <f>IF(D93="","-",+C144+1)</f>
        <v>2055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7"/>
        <v>0</v>
      </c>
      <c r="G145" s="55">
        <f t="shared" si="78"/>
        <v>0</v>
      </c>
      <c r="H145" s="355">
        <f t="shared" si="75"/>
        <v>0</v>
      </c>
      <c r="I145" s="381">
        <f t="shared" si="76"/>
        <v>0</v>
      </c>
      <c r="J145" s="54">
        <f t="shared" si="79"/>
        <v>0</v>
      </c>
      <c r="K145" s="54"/>
      <c r="L145" s="115"/>
      <c r="M145" s="54">
        <f t="shared" si="80"/>
        <v>0</v>
      </c>
      <c r="N145" s="115"/>
      <c r="O145" s="54">
        <f t="shared" si="81"/>
        <v>0</v>
      </c>
      <c r="P145" s="54">
        <f t="shared" si="82"/>
        <v>0</v>
      </c>
    </row>
    <row r="146" spans="2:16">
      <c r="B146" s="7" t="str">
        <f t="shared" si="46"/>
        <v/>
      </c>
      <c r="C146" s="50">
        <f>IF(D93="","-",+C145+1)</f>
        <v>2056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7"/>
        <v>0</v>
      </c>
      <c r="G146" s="55">
        <f t="shared" si="78"/>
        <v>0</v>
      </c>
      <c r="H146" s="355">
        <f t="shared" si="75"/>
        <v>0</v>
      </c>
      <c r="I146" s="381">
        <f t="shared" si="76"/>
        <v>0</v>
      </c>
      <c r="J146" s="54">
        <f t="shared" si="79"/>
        <v>0</v>
      </c>
      <c r="K146" s="54"/>
      <c r="L146" s="115"/>
      <c r="M146" s="54">
        <f t="shared" si="80"/>
        <v>0</v>
      </c>
      <c r="N146" s="115"/>
      <c r="O146" s="54">
        <f t="shared" si="81"/>
        <v>0</v>
      </c>
      <c r="P146" s="54">
        <f t="shared" si="82"/>
        <v>0</v>
      </c>
    </row>
    <row r="147" spans="2:16">
      <c r="B147" s="7" t="str">
        <f t="shared" si="46"/>
        <v/>
      </c>
      <c r="C147" s="50">
        <f>IF(D93="","-",+C146+1)</f>
        <v>2057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7"/>
        <v>0</v>
      </c>
      <c r="G147" s="55">
        <f t="shared" si="78"/>
        <v>0</v>
      </c>
      <c r="H147" s="355">
        <f t="shared" si="75"/>
        <v>0</v>
      </c>
      <c r="I147" s="381">
        <f t="shared" si="76"/>
        <v>0</v>
      </c>
      <c r="J147" s="54">
        <f t="shared" si="79"/>
        <v>0</v>
      </c>
      <c r="K147" s="54"/>
      <c r="L147" s="115"/>
      <c r="M147" s="54">
        <f t="shared" si="80"/>
        <v>0</v>
      </c>
      <c r="N147" s="115"/>
      <c r="O147" s="54">
        <f t="shared" si="81"/>
        <v>0</v>
      </c>
      <c r="P147" s="54">
        <f t="shared" si="82"/>
        <v>0</v>
      </c>
    </row>
    <row r="148" spans="2:16">
      <c r="B148" s="7" t="str">
        <f t="shared" si="46"/>
        <v/>
      </c>
      <c r="C148" s="50">
        <f>IF(D93="","-",+C147+1)</f>
        <v>2058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7"/>
        <v>0</v>
      </c>
      <c r="G148" s="55">
        <f t="shared" si="78"/>
        <v>0</v>
      </c>
      <c r="H148" s="355">
        <f t="shared" si="75"/>
        <v>0</v>
      </c>
      <c r="I148" s="381">
        <f t="shared" si="76"/>
        <v>0</v>
      </c>
      <c r="J148" s="54">
        <f t="shared" si="79"/>
        <v>0</v>
      </c>
      <c r="K148" s="54"/>
      <c r="L148" s="115"/>
      <c r="M148" s="54">
        <f t="shared" si="80"/>
        <v>0</v>
      </c>
      <c r="N148" s="115"/>
      <c r="O148" s="54">
        <f t="shared" si="81"/>
        <v>0</v>
      </c>
      <c r="P148" s="54">
        <f t="shared" si="82"/>
        <v>0</v>
      </c>
    </row>
    <row r="149" spans="2:16">
      <c r="B149" s="7" t="str">
        <f t="shared" si="46"/>
        <v/>
      </c>
      <c r="C149" s="50">
        <f>IF(D93="","-",+C148+1)</f>
        <v>2059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7"/>
        <v>0</v>
      </c>
      <c r="G149" s="55">
        <f t="shared" si="78"/>
        <v>0</v>
      </c>
      <c r="H149" s="355">
        <f t="shared" si="75"/>
        <v>0</v>
      </c>
      <c r="I149" s="381">
        <f t="shared" si="76"/>
        <v>0</v>
      </c>
      <c r="J149" s="54">
        <f t="shared" si="79"/>
        <v>0</v>
      </c>
      <c r="K149" s="54"/>
      <c r="L149" s="115"/>
      <c r="M149" s="54">
        <f t="shared" si="80"/>
        <v>0</v>
      </c>
      <c r="N149" s="115"/>
      <c r="O149" s="54">
        <f t="shared" si="81"/>
        <v>0</v>
      </c>
      <c r="P149" s="54">
        <f t="shared" si="82"/>
        <v>0</v>
      </c>
    </row>
    <row r="150" spans="2:16">
      <c r="B150" s="7" t="str">
        <f t="shared" si="46"/>
        <v/>
      </c>
      <c r="C150" s="50">
        <f>IF(D93="","-",+C149+1)</f>
        <v>2060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7"/>
        <v>0</v>
      </c>
      <c r="G150" s="55">
        <f t="shared" si="78"/>
        <v>0</v>
      </c>
      <c r="H150" s="355">
        <f t="shared" si="75"/>
        <v>0</v>
      </c>
      <c r="I150" s="381">
        <f t="shared" si="76"/>
        <v>0</v>
      </c>
      <c r="J150" s="54">
        <f t="shared" si="79"/>
        <v>0</v>
      </c>
      <c r="K150" s="54"/>
      <c r="L150" s="115"/>
      <c r="M150" s="54">
        <f t="shared" si="80"/>
        <v>0</v>
      </c>
      <c r="N150" s="115"/>
      <c r="O150" s="54">
        <f t="shared" si="81"/>
        <v>0</v>
      </c>
      <c r="P150" s="54">
        <f t="shared" si="82"/>
        <v>0</v>
      </c>
    </row>
    <row r="151" spans="2:16">
      <c r="B151" s="7" t="str">
        <f t="shared" si="46"/>
        <v/>
      </c>
      <c r="C151" s="50">
        <f>IF(D93="","-",+C150+1)</f>
        <v>2061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7"/>
        <v>0</v>
      </c>
      <c r="G151" s="55">
        <f t="shared" si="78"/>
        <v>0</v>
      </c>
      <c r="H151" s="355">
        <f t="shared" si="75"/>
        <v>0</v>
      </c>
      <c r="I151" s="381">
        <f t="shared" si="76"/>
        <v>0</v>
      </c>
      <c r="J151" s="54">
        <f t="shared" si="79"/>
        <v>0</v>
      </c>
      <c r="K151" s="54"/>
      <c r="L151" s="115"/>
      <c r="M151" s="54">
        <f t="shared" si="80"/>
        <v>0</v>
      </c>
      <c r="N151" s="115"/>
      <c r="O151" s="54">
        <f t="shared" si="81"/>
        <v>0</v>
      </c>
      <c r="P151" s="54">
        <f t="shared" si="82"/>
        <v>0</v>
      </c>
    </row>
    <row r="152" spans="2:16">
      <c r="B152" s="7" t="str">
        <f t="shared" si="46"/>
        <v/>
      </c>
      <c r="C152" s="50">
        <f>IF(D93="","-",+C151+1)</f>
        <v>2062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7"/>
        <v>0</v>
      </c>
      <c r="G152" s="55">
        <f t="shared" si="78"/>
        <v>0</v>
      </c>
      <c r="H152" s="355">
        <f t="shared" si="75"/>
        <v>0</v>
      </c>
      <c r="I152" s="381">
        <f t="shared" si="76"/>
        <v>0</v>
      </c>
      <c r="J152" s="54">
        <f t="shared" si="79"/>
        <v>0</v>
      </c>
      <c r="K152" s="54"/>
      <c r="L152" s="115"/>
      <c r="M152" s="54">
        <f t="shared" si="80"/>
        <v>0</v>
      </c>
      <c r="N152" s="115"/>
      <c r="O152" s="54">
        <f t="shared" si="81"/>
        <v>0</v>
      </c>
      <c r="P152" s="54">
        <f t="shared" si="82"/>
        <v>0</v>
      </c>
    </row>
    <row r="153" spans="2:16">
      <c r="B153" s="7" t="str">
        <f t="shared" si="46"/>
        <v/>
      </c>
      <c r="C153" s="50">
        <f>IF(D93="","-",+C152+1)</f>
        <v>2063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7"/>
        <v>0</v>
      </c>
      <c r="G153" s="55">
        <f t="shared" si="78"/>
        <v>0</v>
      </c>
      <c r="H153" s="355">
        <f t="shared" si="75"/>
        <v>0</v>
      </c>
      <c r="I153" s="381">
        <f t="shared" si="76"/>
        <v>0</v>
      </c>
      <c r="J153" s="54">
        <f t="shared" si="79"/>
        <v>0</v>
      </c>
      <c r="K153" s="54"/>
      <c r="L153" s="115"/>
      <c r="M153" s="54">
        <f t="shared" si="80"/>
        <v>0</v>
      </c>
      <c r="N153" s="115"/>
      <c r="O153" s="54">
        <f t="shared" si="81"/>
        <v>0</v>
      </c>
      <c r="P153" s="54">
        <f t="shared" si="82"/>
        <v>0</v>
      </c>
    </row>
    <row r="154" spans="2:16" ht="13.5" thickBot="1">
      <c r="B154" s="7" t="str">
        <f t="shared" si="46"/>
        <v/>
      </c>
      <c r="C154" s="58">
        <f>IF(D93="","-",+C153+1)</f>
        <v>2064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7"/>
        <v>0</v>
      </c>
      <c r="G154" s="59">
        <f t="shared" si="78"/>
        <v>0</v>
      </c>
      <c r="H154" s="59">
        <f t="shared" si="75"/>
        <v>0</v>
      </c>
      <c r="I154" s="383">
        <f t="shared" si="76"/>
        <v>0</v>
      </c>
      <c r="J154" s="62">
        <f t="shared" si="79"/>
        <v>0</v>
      </c>
      <c r="K154" s="54"/>
      <c r="L154" s="116"/>
      <c r="M154" s="62">
        <f t="shared" si="80"/>
        <v>0</v>
      </c>
      <c r="N154" s="116"/>
      <c r="O154" s="62">
        <f t="shared" si="81"/>
        <v>0</v>
      </c>
      <c r="P154" s="62">
        <f t="shared" si="82"/>
        <v>0</v>
      </c>
    </row>
    <row r="155" spans="2:16">
      <c r="C155" s="12" t="s">
        <v>77</v>
      </c>
      <c r="D155" s="266"/>
      <c r="E155" s="266">
        <f>SUM(E99:E154)</f>
        <v>11456065</v>
      </c>
      <c r="F155" s="266"/>
      <c r="G155" s="266"/>
      <c r="H155" s="266">
        <f>SUM(H99:H154)</f>
        <v>42144826.652772836</v>
      </c>
      <c r="I155" s="266">
        <f>SUM(I99:I154)</f>
        <v>42144826.652772836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 t="s">
        <v>100</v>
      </c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30" t="s">
        <v>107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78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 t="s">
        <v>79</v>
      </c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9" priority="1" stopIfTrue="1" operator="equal">
      <formula>$I$10</formula>
    </cfRule>
  </conditionalFormatting>
  <conditionalFormatting sqref="C99:C154">
    <cfRule type="cellIs" dxfId="6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P1048576"/>
  <sheetViews>
    <sheetView zoomScaleNormal="100" zoomScaleSheetLayoutView="75" workbookViewId="0">
      <selection activeCell="D12" sqref="D12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4 of 36</v>
      </c>
    </row>
    <row r="2" spans="1:16" ht="20.25">
      <c r="A2" s="289"/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 t="s">
        <v>248</v>
      </c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VLOOKUP(I10,C17:I72,5)-O5</f>
        <v>1411551.2</v>
      </c>
      <c r="O5" s="387">
        <f>1307.4*12</f>
        <v>15688.800000000001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VLOOKUP(I10,C17:I72,6)-O5</f>
        <v>1411551.2</v>
      </c>
      <c r="O6" s="1"/>
      <c r="P6" s="1"/>
    </row>
    <row r="7" spans="1:16" ht="13.5" thickBot="1">
      <c r="C7" s="26" t="s">
        <v>46</v>
      </c>
      <c r="D7" s="331" t="s">
        <v>207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82</v>
      </c>
      <c r="E9" s="74" t="s">
        <v>373</v>
      </c>
      <c r="F9" s="32" t="s">
        <v>375</v>
      </c>
      <c r="G9" s="32"/>
      <c r="H9" s="32"/>
      <c r="I9" s="33"/>
      <c r="J9" s="34"/>
      <c r="P9" s="1"/>
    </row>
    <row r="10" spans="1:16">
      <c r="C10" s="128" t="s">
        <v>226</v>
      </c>
      <c r="D10" s="335">
        <v>14615636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2008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7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384622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88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2008</v>
      </c>
      <c r="D17" s="389">
        <v>2264444</v>
      </c>
      <c r="E17" s="349">
        <v>21774</v>
      </c>
      <c r="F17" s="348">
        <v>2242670</v>
      </c>
      <c r="G17" s="349">
        <v>215833</v>
      </c>
      <c r="H17" s="349">
        <v>215833</v>
      </c>
      <c r="I17" s="52">
        <f t="shared" ref="I17:I48" si="0">H17-G17</f>
        <v>0</v>
      </c>
      <c r="J17" s="63"/>
      <c r="K17" s="350">
        <v>215833</v>
      </c>
      <c r="L17" s="390">
        <f t="shared" ref="L17:L48" si="1">IF(K17&lt;&gt;0,+G17-K17,0)</f>
        <v>0</v>
      </c>
      <c r="M17" s="117">
        <v>215833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2009</v>
      </c>
      <c r="D18" s="348">
        <v>14429811</v>
      </c>
      <c r="E18" s="352">
        <v>274418</v>
      </c>
      <c r="F18" s="348">
        <v>14155393</v>
      </c>
      <c r="G18" s="352">
        <v>2443110</v>
      </c>
      <c r="H18" s="352">
        <v>2443110</v>
      </c>
      <c r="I18" s="52">
        <f t="shared" si="0"/>
        <v>0</v>
      </c>
      <c r="J18" s="52"/>
      <c r="K18" s="350">
        <v>2443110</v>
      </c>
      <c r="L18" s="54">
        <f t="shared" si="1"/>
        <v>0</v>
      </c>
      <c r="M18" s="350">
        <v>2443110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2010</v>
      </c>
      <c r="D19" s="351">
        <v>14390719</v>
      </c>
      <c r="E19" s="352">
        <v>262266.26785714284</v>
      </c>
      <c r="F19" s="351">
        <v>14128452.732142856</v>
      </c>
      <c r="G19" s="352">
        <v>2300952.2678571427</v>
      </c>
      <c r="H19" s="353">
        <v>2300952.2678571427</v>
      </c>
      <c r="I19" s="52">
        <f t="shared" si="0"/>
        <v>0</v>
      </c>
      <c r="J19" s="52"/>
      <c r="K19" s="350">
        <f t="shared" ref="K19:K24" si="4">G19</f>
        <v>2300952.2678571427</v>
      </c>
      <c r="L19" s="54">
        <f t="shared" si="1"/>
        <v>0</v>
      </c>
      <c r="M19" s="350">
        <f t="shared" ref="M19:M24" si="5">H19</f>
        <v>2300952.2678571427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>IU</v>
      </c>
      <c r="C20" s="50">
        <f>IF(D11="","-",+C19+1)</f>
        <v>2011</v>
      </c>
      <c r="D20" s="351">
        <v>14057177.732142856</v>
      </c>
      <c r="E20" s="352">
        <v>286581.09803921566</v>
      </c>
      <c r="F20" s="351">
        <v>13770596.634103641</v>
      </c>
      <c r="G20" s="352">
        <v>2442276.0980392154</v>
      </c>
      <c r="H20" s="353">
        <v>2442276.0980392154</v>
      </c>
      <c r="I20" s="52">
        <f t="shared" si="0"/>
        <v>0</v>
      </c>
      <c r="J20" s="52"/>
      <c r="K20" s="350">
        <f t="shared" si="4"/>
        <v>2442276.0980392154</v>
      </c>
      <c r="L20" s="54">
        <f t="shared" si="1"/>
        <v>0</v>
      </c>
      <c r="M20" s="350">
        <f t="shared" si="5"/>
        <v>2442276.0980392154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2012</v>
      </c>
      <c r="D21" s="351">
        <v>13770596.634103641</v>
      </c>
      <c r="E21" s="352">
        <v>281069.92307692306</v>
      </c>
      <c r="F21" s="351">
        <v>13489526.711026717</v>
      </c>
      <c r="G21" s="352">
        <v>2158902.923076923</v>
      </c>
      <c r="H21" s="353">
        <v>2158902.923076923</v>
      </c>
      <c r="I21" s="52">
        <f t="shared" si="0"/>
        <v>0</v>
      </c>
      <c r="J21" s="52"/>
      <c r="K21" s="350">
        <f t="shared" si="4"/>
        <v>2158902.923076923</v>
      </c>
      <c r="L21" s="54">
        <f t="shared" si="1"/>
        <v>0</v>
      </c>
      <c r="M21" s="350">
        <f t="shared" si="5"/>
        <v>2158902.923076923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6"/>
        <v/>
      </c>
      <c r="C22" s="50">
        <f>IF(D11="","-",+C21+1)</f>
        <v>2013</v>
      </c>
      <c r="D22" s="351">
        <v>13489526.711026717</v>
      </c>
      <c r="E22" s="352">
        <v>281069.92307692306</v>
      </c>
      <c r="F22" s="351">
        <v>13208456.787949793</v>
      </c>
      <c r="G22" s="352">
        <v>2167326.923076923</v>
      </c>
      <c r="H22" s="353">
        <v>2167326.923076923</v>
      </c>
      <c r="I22" s="52">
        <v>0</v>
      </c>
      <c r="J22" s="52"/>
      <c r="K22" s="350">
        <f t="shared" si="4"/>
        <v>2167326.923076923</v>
      </c>
      <c r="L22" s="54">
        <f t="shared" ref="L22:L27" si="7">IF(K22&lt;&gt;0,+G22-K22,0)</f>
        <v>0</v>
      </c>
      <c r="M22" s="350">
        <f t="shared" si="5"/>
        <v>2167326.923076923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>
      <c r="B23" s="7" t="str">
        <f t="shared" si="6"/>
        <v/>
      </c>
      <c r="C23" s="50">
        <f>IF(D11="","-",+C22+1)</f>
        <v>2014</v>
      </c>
      <c r="D23" s="351">
        <v>13208456.787949793</v>
      </c>
      <c r="E23" s="352">
        <v>281069.92307692306</v>
      </c>
      <c r="F23" s="351">
        <v>12927386.864872869</v>
      </c>
      <c r="G23" s="352">
        <v>2060637.923076923</v>
      </c>
      <c r="H23" s="353">
        <v>2060637.923076923</v>
      </c>
      <c r="I23" s="52">
        <v>0</v>
      </c>
      <c r="J23" s="52"/>
      <c r="K23" s="350">
        <f t="shared" si="4"/>
        <v>2060637.923076923</v>
      </c>
      <c r="L23" s="54">
        <f t="shared" si="7"/>
        <v>0</v>
      </c>
      <c r="M23" s="350">
        <f t="shared" si="5"/>
        <v>2060637.923076923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2015</v>
      </c>
      <c r="D24" s="351">
        <v>12927386.864872869</v>
      </c>
      <c r="E24" s="352">
        <v>281069.92307692306</v>
      </c>
      <c r="F24" s="351">
        <v>12646316.941795945</v>
      </c>
      <c r="G24" s="352">
        <v>2024638.923076923</v>
      </c>
      <c r="H24" s="353">
        <v>2024638.923076923</v>
      </c>
      <c r="I24" s="52">
        <v>0</v>
      </c>
      <c r="J24" s="52"/>
      <c r="K24" s="350">
        <f t="shared" si="4"/>
        <v>2024638.923076923</v>
      </c>
      <c r="L24" s="54">
        <f t="shared" si="7"/>
        <v>0</v>
      </c>
      <c r="M24" s="350">
        <f t="shared" si="5"/>
        <v>2024638.923076923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2016</v>
      </c>
      <c r="D25" s="351">
        <v>12646316.941795945</v>
      </c>
      <c r="E25" s="352">
        <v>281069.92307692306</v>
      </c>
      <c r="F25" s="351">
        <v>12365247.018719021</v>
      </c>
      <c r="G25" s="352">
        <v>1902890.923076923</v>
      </c>
      <c r="H25" s="353">
        <v>1902890.923076923</v>
      </c>
      <c r="I25" s="52">
        <f t="shared" si="0"/>
        <v>0</v>
      </c>
      <c r="J25" s="52"/>
      <c r="K25" s="350">
        <f t="shared" ref="K25:K30" si="10">G25</f>
        <v>1902890.923076923</v>
      </c>
      <c r="L25" s="54">
        <f t="shared" si="7"/>
        <v>0</v>
      </c>
      <c r="M25" s="350">
        <f t="shared" ref="M25:M30" si="11">H25</f>
        <v>1902890.923076923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2017</v>
      </c>
      <c r="D26" s="351">
        <v>12365247.018719021</v>
      </c>
      <c r="E26" s="352">
        <v>317731.21739130432</v>
      </c>
      <c r="F26" s="351">
        <v>12047515.801327717</v>
      </c>
      <c r="G26" s="352">
        <v>1850906.2173913042</v>
      </c>
      <c r="H26" s="353">
        <v>1850906.2173913042</v>
      </c>
      <c r="I26" s="52">
        <f t="shared" si="0"/>
        <v>0</v>
      </c>
      <c r="J26" s="52"/>
      <c r="K26" s="350">
        <f t="shared" si="10"/>
        <v>1850906.2173913042</v>
      </c>
      <c r="L26" s="54">
        <f t="shared" si="7"/>
        <v>0</v>
      </c>
      <c r="M26" s="350">
        <f t="shared" si="11"/>
        <v>1850906.2173913042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2018</v>
      </c>
      <c r="D27" s="351">
        <v>12047515.801327717</v>
      </c>
      <c r="E27" s="352">
        <v>324791.91111111111</v>
      </c>
      <c r="F27" s="351">
        <v>11722723.890216606</v>
      </c>
      <c r="G27" s="352">
        <v>1748141.2740256879</v>
      </c>
      <c r="H27" s="353">
        <v>1748141.2740256879</v>
      </c>
      <c r="I27" s="52">
        <f t="shared" si="0"/>
        <v>0</v>
      </c>
      <c r="J27" s="52"/>
      <c r="K27" s="350">
        <f t="shared" si="10"/>
        <v>1748141.2740256879</v>
      </c>
      <c r="L27" s="54">
        <f t="shared" si="7"/>
        <v>0</v>
      </c>
      <c r="M27" s="350">
        <f t="shared" si="11"/>
        <v>1748141.2740256879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6"/>
        <v/>
      </c>
      <c r="C28" s="50">
        <f>IF(D11="","-",+C27+1)</f>
        <v>2019</v>
      </c>
      <c r="D28" s="351">
        <v>11722723.890216606</v>
      </c>
      <c r="E28" s="352">
        <v>365390.9</v>
      </c>
      <c r="F28" s="351">
        <v>11357332.990216605</v>
      </c>
      <c r="G28" s="352">
        <v>1653911.6007125233</v>
      </c>
      <c r="H28" s="353">
        <v>1653911.6007125233</v>
      </c>
      <c r="I28" s="52">
        <f t="shared" si="0"/>
        <v>0</v>
      </c>
      <c r="J28" s="52"/>
      <c r="K28" s="350">
        <f t="shared" si="10"/>
        <v>1653911.6007125233</v>
      </c>
      <c r="L28" s="54">
        <f t="shared" ref="L28" si="12">IF(K28&lt;&gt;0,+G28-K28,0)</f>
        <v>0</v>
      </c>
      <c r="M28" s="350">
        <f t="shared" si="11"/>
        <v>1653911.6007125233</v>
      </c>
      <c r="N28" s="54">
        <f t="shared" ref="N28" si="13">IF(M28&lt;&gt;0,+H28-M28,0)</f>
        <v>0</v>
      </c>
      <c r="O28" s="54">
        <f t="shared" ref="O28" si="14">+N28-L28</f>
        <v>0</v>
      </c>
      <c r="P28" s="1"/>
    </row>
    <row r="29" spans="2:16">
      <c r="B29" s="7" t="str">
        <f t="shared" si="6"/>
        <v>IU</v>
      </c>
      <c r="C29" s="50">
        <f>IF(D11="","-",+C28+1)</f>
        <v>2020</v>
      </c>
      <c r="D29" s="351">
        <v>11397931.979105495</v>
      </c>
      <c r="E29" s="352">
        <v>347991.33333333331</v>
      </c>
      <c r="F29" s="351">
        <v>11049940.645772161</v>
      </c>
      <c r="G29" s="352">
        <v>1560230.0708098114</v>
      </c>
      <c r="H29" s="353">
        <v>1560230.0708098114</v>
      </c>
      <c r="I29" s="52">
        <f t="shared" si="0"/>
        <v>0</v>
      </c>
      <c r="J29" s="52"/>
      <c r="K29" s="350">
        <f t="shared" si="10"/>
        <v>1560230.0708098114</v>
      </c>
      <c r="L29" s="54">
        <f t="shared" ref="L29" si="15">IF(K29&lt;&gt;0,+G29-K29,0)</f>
        <v>0</v>
      </c>
      <c r="M29" s="350">
        <f t="shared" si="11"/>
        <v>1560230.0708098114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2021</v>
      </c>
      <c r="D30" s="351">
        <v>11009341.656883277</v>
      </c>
      <c r="E30" s="352">
        <v>339898.51162790699</v>
      </c>
      <c r="F30" s="351">
        <v>10669443.14525537</v>
      </c>
      <c r="G30" s="352">
        <v>1490295.5116279069</v>
      </c>
      <c r="H30" s="353">
        <v>1490295.5116279069</v>
      </c>
      <c r="I30" s="52">
        <f t="shared" si="0"/>
        <v>0</v>
      </c>
      <c r="J30" s="52"/>
      <c r="K30" s="350">
        <f t="shared" si="10"/>
        <v>1490295.5116279069</v>
      </c>
      <c r="L30" s="54">
        <f t="shared" ref="L30" si="16">IF(K30&lt;&gt;0,+G30-K30,0)</f>
        <v>0</v>
      </c>
      <c r="M30" s="350">
        <f t="shared" si="11"/>
        <v>1490295.5116279069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/>
      </c>
      <c r="C31" s="50">
        <f>IF(D11="","-",+C30+1)</f>
        <v>2022</v>
      </c>
      <c r="D31" s="351">
        <v>10669443.14525537</v>
      </c>
      <c r="E31" s="352">
        <v>347991.33333333331</v>
      </c>
      <c r="F31" s="351">
        <v>10321451.811922036</v>
      </c>
      <c r="G31" s="352">
        <v>1460760.3333333333</v>
      </c>
      <c r="H31" s="353">
        <v>1460760.3333333333</v>
      </c>
      <c r="I31" s="52">
        <f t="shared" si="0"/>
        <v>0</v>
      </c>
      <c r="J31" s="52"/>
      <c r="K31" s="350">
        <f t="shared" ref="K31" si="17">G31</f>
        <v>1460760.3333333333</v>
      </c>
      <c r="L31" s="54">
        <f t="shared" ref="L31" si="18">IF(K31&lt;&gt;0,+G31-K31,0)</f>
        <v>0</v>
      </c>
      <c r="M31" s="350">
        <f t="shared" ref="M31" si="19">H31</f>
        <v>1460760.3333333333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2023</v>
      </c>
      <c r="D32" s="351">
        <v>10321451.811922036</v>
      </c>
      <c r="E32" s="352">
        <v>374759.89743589744</v>
      </c>
      <c r="F32" s="351">
        <v>9946691.9144861382</v>
      </c>
      <c r="G32" s="352">
        <v>1561986.8974358975</v>
      </c>
      <c r="H32" s="353">
        <v>1561986.8974358975</v>
      </c>
      <c r="I32" s="52">
        <f t="shared" si="0"/>
        <v>0</v>
      </c>
      <c r="J32" s="52"/>
      <c r="K32" s="350">
        <f t="shared" ref="K32" si="20">G32</f>
        <v>1561986.8974358975</v>
      </c>
      <c r="L32" s="54">
        <f t="shared" ref="L32" si="21">IF(K32&lt;&gt;0,+G32-K32,0)</f>
        <v>0</v>
      </c>
      <c r="M32" s="350">
        <f t="shared" ref="M32" si="22">H32</f>
        <v>1561986.8974358975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6"/>
        <v/>
      </c>
      <c r="C33" s="50">
        <f>IF(D11="","-",+C32+1)</f>
        <v>2024</v>
      </c>
      <c r="D33" s="351">
        <v>9946691.9144861382</v>
      </c>
      <c r="E33" s="352">
        <v>384622</v>
      </c>
      <c r="F33" s="351">
        <v>9562069.9144861382</v>
      </c>
      <c r="G33" s="352">
        <v>1472214</v>
      </c>
      <c r="H33" s="353">
        <v>1472214</v>
      </c>
      <c r="I33" s="52">
        <f t="shared" si="0"/>
        <v>0</v>
      </c>
      <c r="J33" s="52"/>
      <c r="K33" s="350">
        <f t="shared" ref="K33" si="23">G33</f>
        <v>1472214</v>
      </c>
      <c r="L33" s="54">
        <f t="shared" ref="L33" si="24">IF(K33&lt;&gt;0,+G33-K33,0)</f>
        <v>0</v>
      </c>
      <c r="M33" s="350">
        <f t="shared" ref="M33" si="25">H33</f>
        <v>1472214</v>
      </c>
      <c r="N33" s="54">
        <f t="shared" ref="N33" si="26">IF(M33&lt;&gt;0,+H33-M33,0)</f>
        <v>0</v>
      </c>
      <c r="O33" s="54">
        <f t="shared" ref="O33" si="27">+N33-L33</f>
        <v>0</v>
      </c>
      <c r="P33" s="1"/>
    </row>
    <row r="34" spans="2:16">
      <c r="B34" s="7" t="str">
        <f t="shared" si="6"/>
        <v/>
      </c>
      <c r="C34" s="50">
        <f>IF(D11="","-",+C33+1)</f>
        <v>2025</v>
      </c>
      <c r="D34" s="351">
        <v>9562069.9144861382</v>
      </c>
      <c r="E34" s="352">
        <v>384622</v>
      </c>
      <c r="F34" s="351">
        <v>9177447.9144861382</v>
      </c>
      <c r="G34" s="352">
        <v>1427240</v>
      </c>
      <c r="H34" s="353">
        <v>1427240</v>
      </c>
      <c r="I34" s="52">
        <f t="shared" si="0"/>
        <v>0</v>
      </c>
      <c r="J34" s="52"/>
      <c r="K34" s="350">
        <f t="shared" ref="K34" si="28">G34</f>
        <v>1427240</v>
      </c>
      <c r="L34" s="54">
        <f t="shared" ref="L34" si="29">IF(K34&lt;&gt;0,+G34-K34,0)</f>
        <v>0</v>
      </c>
      <c r="M34" s="350">
        <f t="shared" ref="M34" si="30">H34</f>
        <v>1427240</v>
      </c>
      <c r="N34" s="54">
        <f t="shared" ref="N34" si="31">IF(M34&lt;&gt;0,+H34-M34,0)</f>
        <v>0</v>
      </c>
      <c r="O34" s="54">
        <f t="shared" ref="O34" si="32">+N34-L34</f>
        <v>0</v>
      </c>
      <c r="P34" s="1"/>
    </row>
    <row r="35" spans="2:16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9177447.9144861382</v>
      </c>
      <c r="E35" s="354">
        <f>IF(+I14&lt;F34,I14,D35)</f>
        <v>384622</v>
      </c>
      <c r="F35" s="55">
        <f t="shared" ref="F35:F72" si="33">+D35-E35</f>
        <v>8792825.9144861382</v>
      </c>
      <c r="G35" s="355">
        <f t="shared" ref="G35:G72" si="34">(D35+F35)/2*I$12+E35</f>
        <v>1405391.9046582745</v>
      </c>
      <c r="H35" s="336">
        <f t="shared" ref="H35:H72" si="35">+(D35+F35)/2*I$13+E35</f>
        <v>1405391.9046582745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8792825.9144861382</v>
      </c>
      <c r="E36" s="354">
        <f>IF(+I14&lt;F35,I14,D36)</f>
        <v>384622</v>
      </c>
      <c r="F36" s="55">
        <f t="shared" si="33"/>
        <v>8408203.9144861382</v>
      </c>
      <c r="G36" s="355">
        <f t="shared" si="34"/>
        <v>1361696.3476505126</v>
      </c>
      <c r="H36" s="336">
        <f t="shared" si="35"/>
        <v>1361696.3476505126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8408203.9144861382</v>
      </c>
      <c r="E37" s="354">
        <f>IF(+I14&lt;F36,I14,D37)</f>
        <v>384622</v>
      </c>
      <c r="F37" s="55">
        <f t="shared" si="33"/>
        <v>8023581.9144861382</v>
      </c>
      <c r="G37" s="355">
        <f t="shared" si="34"/>
        <v>1318000.7906427509</v>
      </c>
      <c r="H37" s="336">
        <f t="shared" si="35"/>
        <v>1318000.7906427509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8023581.9144861382</v>
      </c>
      <c r="E38" s="354">
        <f>IF(+I14&lt;F37,I14,D38)</f>
        <v>384622</v>
      </c>
      <c r="F38" s="55">
        <f t="shared" si="33"/>
        <v>7638959.9144861382</v>
      </c>
      <c r="G38" s="355">
        <f t="shared" si="34"/>
        <v>1274305.2336349888</v>
      </c>
      <c r="H38" s="336">
        <f t="shared" si="35"/>
        <v>1274305.2336349888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7638959.9144861382</v>
      </c>
      <c r="E39" s="354">
        <f>IF(+I14&lt;F38,I14,D39)</f>
        <v>384622</v>
      </c>
      <c r="F39" s="55">
        <f t="shared" si="33"/>
        <v>7254337.9144861382</v>
      </c>
      <c r="G39" s="355">
        <f t="shared" si="34"/>
        <v>1230609.6766272271</v>
      </c>
      <c r="H39" s="336">
        <f t="shared" si="35"/>
        <v>1230609.6766272271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7254337.9144861382</v>
      </c>
      <c r="E40" s="354">
        <f>IF(+I14&lt;F39,I14,D40)</f>
        <v>384622</v>
      </c>
      <c r="F40" s="55">
        <f t="shared" si="33"/>
        <v>6869715.9144861382</v>
      </c>
      <c r="G40" s="355">
        <f t="shared" si="34"/>
        <v>1186914.119619465</v>
      </c>
      <c r="H40" s="336">
        <f t="shared" si="35"/>
        <v>1186914.119619465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6869715.9144861382</v>
      </c>
      <c r="E41" s="354">
        <f>IF(+I14&lt;F40,I14,D41)</f>
        <v>384622</v>
      </c>
      <c r="F41" s="55">
        <f t="shared" si="33"/>
        <v>6485093.9144861382</v>
      </c>
      <c r="G41" s="355">
        <f t="shared" si="34"/>
        <v>1143218.5626117033</v>
      </c>
      <c r="H41" s="336">
        <f t="shared" si="35"/>
        <v>1143218.5626117033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6485093.9144861382</v>
      </c>
      <c r="E42" s="354">
        <f>IF(+I14&lt;F41,I14,D42)</f>
        <v>384622</v>
      </c>
      <c r="F42" s="55">
        <f t="shared" si="33"/>
        <v>6100471.9144861382</v>
      </c>
      <c r="G42" s="355">
        <f t="shared" si="34"/>
        <v>1099523.0056039412</v>
      </c>
      <c r="H42" s="336">
        <f t="shared" si="35"/>
        <v>1099523.0056039412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6100471.9144861382</v>
      </c>
      <c r="E43" s="354">
        <f>IF(+I14&lt;F42,I14,D43)</f>
        <v>384622</v>
      </c>
      <c r="F43" s="55">
        <f t="shared" si="33"/>
        <v>5715849.9144861382</v>
      </c>
      <c r="G43" s="355">
        <f t="shared" si="34"/>
        <v>1055827.4485961795</v>
      </c>
      <c r="H43" s="336">
        <f t="shared" si="35"/>
        <v>1055827.4485961795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5715849.9144861382</v>
      </c>
      <c r="E44" s="354">
        <f>IF(+I14&lt;F43,I14,D44)</f>
        <v>384622</v>
      </c>
      <c r="F44" s="55">
        <f t="shared" si="33"/>
        <v>5331227.9144861382</v>
      </c>
      <c r="G44" s="355">
        <f t="shared" si="34"/>
        <v>1012131.8915884175</v>
      </c>
      <c r="H44" s="336">
        <f t="shared" si="35"/>
        <v>1012131.8915884175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5331227.9144861382</v>
      </c>
      <c r="E45" s="354">
        <f>IF(+I14&lt;F44,I14,D45)</f>
        <v>384622</v>
      </c>
      <c r="F45" s="55">
        <f t="shared" si="33"/>
        <v>4946605.9144861382</v>
      </c>
      <c r="G45" s="355">
        <f t="shared" si="34"/>
        <v>968436.33458065556</v>
      </c>
      <c r="H45" s="336">
        <f t="shared" si="35"/>
        <v>968436.33458065556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4946605.9144861382</v>
      </c>
      <c r="E46" s="354">
        <f>IF(+I14&lt;F45,I14,D46)</f>
        <v>384622</v>
      </c>
      <c r="F46" s="55">
        <f t="shared" si="33"/>
        <v>4561983.9144861382</v>
      </c>
      <c r="G46" s="355">
        <f t="shared" si="34"/>
        <v>924740.77757289365</v>
      </c>
      <c r="H46" s="336">
        <f t="shared" si="35"/>
        <v>924740.77757289365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4561983.9144861382</v>
      </c>
      <c r="E47" s="354">
        <f>IF(+I14&lt;F46,I14,D47)</f>
        <v>384622</v>
      </c>
      <c r="F47" s="55">
        <f t="shared" si="33"/>
        <v>4177361.9144861382</v>
      </c>
      <c r="G47" s="355">
        <f t="shared" si="34"/>
        <v>881045.22056513187</v>
      </c>
      <c r="H47" s="336">
        <f t="shared" si="35"/>
        <v>881045.22056513187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4177361.9144861382</v>
      </c>
      <c r="E48" s="354">
        <f>IF(+I14&lt;F47,I14,D48)</f>
        <v>384622</v>
      </c>
      <c r="F48" s="55">
        <f t="shared" si="33"/>
        <v>3792739.9144861382</v>
      </c>
      <c r="G48" s="355">
        <f t="shared" si="34"/>
        <v>837349.66355736996</v>
      </c>
      <c r="H48" s="336">
        <f t="shared" si="35"/>
        <v>837349.66355736996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3792739.9144861382</v>
      </c>
      <c r="E49" s="354">
        <f>IF(+I14&lt;F48,I14,D49)</f>
        <v>384622</v>
      </c>
      <c r="F49" s="55">
        <f t="shared" si="33"/>
        <v>3408117.9144861382</v>
      </c>
      <c r="G49" s="355">
        <f t="shared" si="34"/>
        <v>793654.10654960806</v>
      </c>
      <c r="H49" s="336">
        <f t="shared" si="35"/>
        <v>793654.10654960806</v>
      </c>
      <c r="I49" s="52">
        <f t="shared" ref="I49:I72" si="36">H49-G49</f>
        <v>0</v>
      </c>
      <c r="J49" s="52"/>
      <c r="K49" s="115"/>
      <c r="L49" s="54">
        <f t="shared" ref="L49:L72" si="37">IF(K49&lt;&gt;0,+G49-K49,0)</f>
        <v>0</v>
      </c>
      <c r="M49" s="115"/>
      <c r="N49" s="54">
        <f t="shared" ref="N49:N72" si="38">IF(M49&lt;&gt;0,+H49-M49,0)</f>
        <v>0</v>
      </c>
      <c r="O49" s="54">
        <f t="shared" ref="O49:O72" si="39">+N49-L49</f>
        <v>0</v>
      </c>
      <c r="P49" s="1"/>
    </row>
    <row r="50" spans="2:16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3408117.9144861382</v>
      </c>
      <c r="E50" s="354">
        <f>IF(+I14&lt;F49,I14,D50)</f>
        <v>384622</v>
      </c>
      <c r="F50" s="55">
        <f t="shared" si="33"/>
        <v>3023495.9144861382</v>
      </c>
      <c r="G50" s="355">
        <f t="shared" si="34"/>
        <v>749958.54954184615</v>
      </c>
      <c r="H50" s="336">
        <f t="shared" si="35"/>
        <v>749958.54954184615</v>
      </c>
      <c r="I50" s="52">
        <f t="shared" si="36"/>
        <v>0</v>
      </c>
      <c r="J50" s="52"/>
      <c r="K50" s="115"/>
      <c r="L50" s="54">
        <f t="shared" si="37"/>
        <v>0</v>
      </c>
      <c r="M50" s="115"/>
      <c r="N50" s="54">
        <f t="shared" si="38"/>
        <v>0</v>
      </c>
      <c r="O50" s="54">
        <f t="shared" si="39"/>
        <v>0</v>
      </c>
      <c r="P50" s="1"/>
    </row>
    <row r="51" spans="2:16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3023495.9144861382</v>
      </c>
      <c r="E51" s="354">
        <f>IF(+I14&lt;F50,I14,D51)</f>
        <v>384622</v>
      </c>
      <c r="F51" s="55">
        <f t="shared" si="33"/>
        <v>2638873.9144861382</v>
      </c>
      <c r="G51" s="355">
        <f t="shared" si="34"/>
        <v>706262.99253408425</v>
      </c>
      <c r="H51" s="336">
        <f t="shared" si="35"/>
        <v>706262.99253408425</v>
      </c>
      <c r="I51" s="52">
        <f t="shared" si="36"/>
        <v>0</v>
      </c>
      <c r="J51" s="52"/>
      <c r="K51" s="115"/>
      <c r="L51" s="54">
        <f t="shared" si="37"/>
        <v>0</v>
      </c>
      <c r="M51" s="115"/>
      <c r="N51" s="54">
        <f t="shared" si="38"/>
        <v>0</v>
      </c>
      <c r="O51" s="54">
        <f t="shared" si="39"/>
        <v>0</v>
      </c>
      <c r="P51" s="1"/>
    </row>
    <row r="52" spans="2:16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2638873.9144861382</v>
      </c>
      <c r="E52" s="354">
        <f>IF(+I14&lt;F51,I14,D52)</f>
        <v>384622</v>
      </c>
      <c r="F52" s="55">
        <f t="shared" si="33"/>
        <v>2254251.9144861382</v>
      </c>
      <c r="G52" s="355">
        <f t="shared" si="34"/>
        <v>662567.43552632234</v>
      </c>
      <c r="H52" s="336">
        <f t="shared" si="35"/>
        <v>662567.43552632234</v>
      </c>
      <c r="I52" s="52">
        <f t="shared" si="36"/>
        <v>0</v>
      </c>
      <c r="J52" s="52"/>
      <c r="K52" s="115"/>
      <c r="L52" s="54">
        <f t="shared" si="37"/>
        <v>0</v>
      </c>
      <c r="M52" s="115"/>
      <c r="N52" s="54">
        <f t="shared" si="38"/>
        <v>0</v>
      </c>
      <c r="O52" s="54">
        <f t="shared" si="39"/>
        <v>0</v>
      </c>
      <c r="P52" s="1"/>
    </row>
    <row r="53" spans="2:16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2254251.9144861382</v>
      </c>
      <c r="E53" s="354">
        <f>IF(+I14&lt;F52,I14,D53)</f>
        <v>384622</v>
      </c>
      <c r="F53" s="55">
        <f t="shared" si="33"/>
        <v>1869629.9144861382</v>
      </c>
      <c r="G53" s="355">
        <f t="shared" si="34"/>
        <v>618871.87851856044</v>
      </c>
      <c r="H53" s="336">
        <f t="shared" si="35"/>
        <v>618871.87851856044</v>
      </c>
      <c r="I53" s="52">
        <f t="shared" si="36"/>
        <v>0</v>
      </c>
      <c r="J53" s="52"/>
      <c r="K53" s="115"/>
      <c r="L53" s="54">
        <f t="shared" si="37"/>
        <v>0</v>
      </c>
      <c r="M53" s="115"/>
      <c r="N53" s="54">
        <f t="shared" si="38"/>
        <v>0</v>
      </c>
      <c r="O53" s="54">
        <f t="shared" si="39"/>
        <v>0</v>
      </c>
      <c r="P53" s="1"/>
    </row>
    <row r="54" spans="2:16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1869629.9144861382</v>
      </c>
      <c r="E54" s="354">
        <f>IF(+I14&lt;F53,I14,D54)</f>
        <v>384622</v>
      </c>
      <c r="F54" s="55">
        <f t="shared" si="33"/>
        <v>1485007.9144861382</v>
      </c>
      <c r="G54" s="355">
        <f t="shared" si="34"/>
        <v>575176.32151079853</v>
      </c>
      <c r="H54" s="336">
        <f t="shared" si="35"/>
        <v>575176.32151079853</v>
      </c>
      <c r="I54" s="52">
        <f t="shared" si="36"/>
        <v>0</v>
      </c>
      <c r="J54" s="52"/>
      <c r="K54" s="115"/>
      <c r="L54" s="54">
        <f t="shared" si="37"/>
        <v>0</v>
      </c>
      <c r="M54" s="115"/>
      <c r="N54" s="54">
        <f t="shared" si="38"/>
        <v>0</v>
      </c>
      <c r="O54" s="54">
        <f t="shared" si="39"/>
        <v>0</v>
      </c>
      <c r="P54" s="1"/>
    </row>
    <row r="55" spans="2:16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1485007.9144861382</v>
      </c>
      <c r="E55" s="354">
        <f>IF(+I14&lt;F54,I14,D55)</f>
        <v>384622</v>
      </c>
      <c r="F55" s="55">
        <f t="shared" si="33"/>
        <v>1100385.9144861382</v>
      </c>
      <c r="G55" s="355">
        <f t="shared" si="34"/>
        <v>531480.76450303663</v>
      </c>
      <c r="H55" s="336">
        <f t="shared" si="35"/>
        <v>531480.76450303663</v>
      </c>
      <c r="I55" s="52">
        <f t="shared" si="36"/>
        <v>0</v>
      </c>
      <c r="J55" s="52"/>
      <c r="K55" s="115"/>
      <c r="L55" s="54">
        <f t="shared" si="37"/>
        <v>0</v>
      </c>
      <c r="M55" s="115"/>
      <c r="N55" s="54">
        <f t="shared" si="38"/>
        <v>0</v>
      </c>
      <c r="O55" s="54">
        <f t="shared" si="39"/>
        <v>0</v>
      </c>
      <c r="P55" s="1"/>
    </row>
    <row r="56" spans="2:16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1100385.9144861382</v>
      </c>
      <c r="E56" s="354">
        <f>IF(+I14&lt;F55,I14,D56)</f>
        <v>384622</v>
      </c>
      <c r="F56" s="55">
        <f t="shared" si="33"/>
        <v>715763.91448613815</v>
      </c>
      <c r="G56" s="355">
        <f t="shared" si="34"/>
        <v>487785.20749527472</v>
      </c>
      <c r="H56" s="336">
        <f t="shared" si="35"/>
        <v>487785.20749527472</v>
      </c>
      <c r="I56" s="52">
        <f t="shared" si="36"/>
        <v>0</v>
      </c>
      <c r="J56" s="52"/>
      <c r="K56" s="115"/>
      <c r="L56" s="54">
        <f t="shared" si="37"/>
        <v>0</v>
      </c>
      <c r="M56" s="115"/>
      <c r="N56" s="54">
        <f t="shared" si="38"/>
        <v>0</v>
      </c>
      <c r="O56" s="54">
        <f t="shared" si="39"/>
        <v>0</v>
      </c>
      <c r="P56" s="1"/>
    </row>
    <row r="57" spans="2:16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715763.91448613815</v>
      </c>
      <c r="E57" s="354">
        <f>IF(+I14&lt;F56,I14,D57)</f>
        <v>384622</v>
      </c>
      <c r="F57" s="55">
        <f t="shared" si="33"/>
        <v>331141.91448613815</v>
      </c>
      <c r="G57" s="355">
        <f t="shared" si="34"/>
        <v>444089.65048751282</v>
      </c>
      <c r="H57" s="336">
        <f t="shared" si="35"/>
        <v>444089.65048751282</v>
      </c>
      <c r="I57" s="52">
        <f t="shared" si="36"/>
        <v>0</v>
      </c>
      <c r="J57" s="52"/>
      <c r="K57" s="115"/>
      <c r="L57" s="54">
        <f t="shared" si="37"/>
        <v>0</v>
      </c>
      <c r="M57" s="115"/>
      <c r="N57" s="54">
        <f t="shared" si="38"/>
        <v>0</v>
      </c>
      <c r="O57" s="54">
        <f t="shared" si="39"/>
        <v>0</v>
      </c>
      <c r="P57" s="1"/>
    </row>
    <row r="58" spans="2:16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331141.91448613815</v>
      </c>
      <c r="E58" s="354">
        <f>IF(+I14&lt;F57,I14,D58)</f>
        <v>331141.91448613815</v>
      </c>
      <c r="F58" s="55">
        <f t="shared" si="33"/>
        <v>0</v>
      </c>
      <c r="G58" s="355">
        <f t="shared" si="34"/>
        <v>349951.85047795408</v>
      </c>
      <c r="H58" s="336">
        <f t="shared" si="35"/>
        <v>349951.85047795408</v>
      </c>
      <c r="I58" s="52">
        <f t="shared" si="36"/>
        <v>0</v>
      </c>
      <c r="J58" s="52"/>
      <c r="K58" s="115"/>
      <c r="L58" s="54">
        <f t="shared" si="37"/>
        <v>0</v>
      </c>
      <c r="M58" s="115"/>
      <c r="N58" s="54">
        <f t="shared" si="38"/>
        <v>0</v>
      </c>
      <c r="O58" s="54">
        <f t="shared" si="39"/>
        <v>0</v>
      </c>
      <c r="P58" s="1"/>
    </row>
    <row r="59" spans="2:16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0</v>
      </c>
      <c r="E59" s="354">
        <f>IF(+I14&lt;F58,I14,D59)</f>
        <v>0</v>
      </c>
      <c r="F59" s="55">
        <f t="shared" si="33"/>
        <v>0</v>
      </c>
      <c r="G59" s="355">
        <f t="shared" si="34"/>
        <v>0</v>
      </c>
      <c r="H59" s="336">
        <f t="shared" si="35"/>
        <v>0</v>
      </c>
      <c r="I59" s="52">
        <f t="shared" si="36"/>
        <v>0</v>
      </c>
      <c r="J59" s="52"/>
      <c r="K59" s="115"/>
      <c r="L59" s="54">
        <f t="shared" si="37"/>
        <v>0</v>
      </c>
      <c r="M59" s="115"/>
      <c r="N59" s="54">
        <f t="shared" si="38"/>
        <v>0</v>
      </c>
      <c r="O59" s="54">
        <f t="shared" si="39"/>
        <v>0</v>
      </c>
      <c r="P59" s="1"/>
    </row>
    <row r="60" spans="2:16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354">
        <f>IF(+I14&lt;F59,I14,D60)</f>
        <v>0</v>
      </c>
      <c r="F60" s="55">
        <f t="shared" si="33"/>
        <v>0</v>
      </c>
      <c r="G60" s="355">
        <f t="shared" si="34"/>
        <v>0</v>
      </c>
      <c r="H60" s="336">
        <f t="shared" si="35"/>
        <v>0</v>
      </c>
      <c r="I60" s="52">
        <f t="shared" si="36"/>
        <v>0</v>
      </c>
      <c r="J60" s="52"/>
      <c r="K60" s="115"/>
      <c r="L60" s="54">
        <f t="shared" si="37"/>
        <v>0</v>
      </c>
      <c r="M60" s="115"/>
      <c r="N60" s="54">
        <f t="shared" si="38"/>
        <v>0</v>
      </c>
      <c r="O60" s="54">
        <f t="shared" si="39"/>
        <v>0</v>
      </c>
      <c r="P60" s="1"/>
    </row>
    <row r="61" spans="2:16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54">
        <f>IF(+I14&lt;F60,I14,D61)</f>
        <v>0</v>
      </c>
      <c r="F61" s="55">
        <f t="shared" si="33"/>
        <v>0</v>
      </c>
      <c r="G61" s="355">
        <f t="shared" si="34"/>
        <v>0</v>
      </c>
      <c r="H61" s="336">
        <f t="shared" si="35"/>
        <v>0</v>
      </c>
      <c r="I61" s="52">
        <f t="shared" si="36"/>
        <v>0</v>
      </c>
      <c r="J61" s="52"/>
      <c r="K61" s="115"/>
      <c r="L61" s="54">
        <f t="shared" si="37"/>
        <v>0</v>
      </c>
      <c r="M61" s="115"/>
      <c r="N61" s="54">
        <f t="shared" si="38"/>
        <v>0</v>
      </c>
      <c r="O61" s="54">
        <f t="shared" si="39"/>
        <v>0</v>
      </c>
      <c r="P61" s="1"/>
    </row>
    <row r="62" spans="2:16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54">
        <f>IF(+I14&lt;F61,I14,D62)</f>
        <v>0</v>
      </c>
      <c r="F62" s="55">
        <f t="shared" si="33"/>
        <v>0</v>
      </c>
      <c r="G62" s="355">
        <f t="shared" si="34"/>
        <v>0</v>
      </c>
      <c r="H62" s="336">
        <f t="shared" si="35"/>
        <v>0</v>
      </c>
      <c r="I62" s="52">
        <f t="shared" si="36"/>
        <v>0</v>
      </c>
      <c r="J62" s="52"/>
      <c r="K62" s="115"/>
      <c r="L62" s="54">
        <f t="shared" si="37"/>
        <v>0</v>
      </c>
      <c r="M62" s="115"/>
      <c r="N62" s="54">
        <f t="shared" si="38"/>
        <v>0</v>
      </c>
      <c r="O62" s="54">
        <f t="shared" si="39"/>
        <v>0</v>
      </c>
      <c r="P62" s="1"/>
    </row>
    <row r="63" spans="2:16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54">
        <f>IF(+I14&lt;F62,I14,D63)</f>
        <v>0</v>
      </c>
      <c r="F63" s="55">
        <f t="shared" si="33"/>
        <v>0</v>
      </c>
      <c r="G63" s="355">
        <f t="shared" si="34"/>
        <v>0</v>
      </c>
      <c r="H63" s="336">
        <f t="shared" si="35"/>
        <v>0</v>
      </c>
      <c r="I63" s="52">
        <f t="shared" si="36"/>
        <v>0</v>
      </c>
      <c r="J63" s="52"/>
      <c r="K63" s="115"/>
      <c r="L63" s="54">
        <f t="shared" si="37"/>
        <v>0</v>
      </c>
      <c r="M63" s="115"/>
      <c r="N63" s="54">
        <f t="shared" si="38"/>
        <v>0</v>
      </c>
      <c r="O63" s="54">
        <f t="shared" si="39"/>
        <v>0</v>
      </c>
      <c r="P63" s="1"/>
    </row>
    <row r="64" spans="2:16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54">
        <f>IF(+I14&lt;F63,I14,D64)</f>
        <v>0</v>
      </c>
      <c r="F64" s="55">
        <f t="shared" si="33"/>
        <v>0</v>
      </c>
      <c r="G64" s="355">
        <f t="shared" si="34"/>
        <v>0</v>
      </c>
      <c r="H64" s="336">
        <f t="shared" si="35"/>
        <v>0</v>
      </c>
      <c r="I64" s="52">
        <f t="shared" si="36"/>
        <v>0</v>
      </c>
      <c r="J64" s="52"/>
      <c r="K64" s="115"/>
      <c r="L64" s="54">
        <f t="shared" si="37"/>
        <v>0</v>
      </c>
      <c r="M64" s="115"/>
      <c r="N64" s="54">
        <f t="shared" si="38"/>
        <v>0</v>
      </c>
      <c r="O64" s="54">
        <f t="shared" si="39"/>
        <v>0</v>
      </c>
      <c r="P64" s="1"/>
    </row>
    <row r="65" spans="2:16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54">
        <f>IF(+I14&lt;F64,I14,D65)</f>
        <v>0</v>
      </c>
      <c r="F65" s="55">
        <f t="shared" si="33"/>
        <v>0</v>
      </c>
      <c r="G65" s="355">
        <f t="shared" si="34"/>
        <v>0</v>
      </c>
      <c r="H65" s="336">
        <f t="shared" si="35"/>
        <v>0</v>
      </c>
      <c r="I65" s="52">
        <f t="shared" si="36"/>
        <v>0</v>
      </c>
      <c r="J65" s="52"/>
      <c r="K65" s="115"/>
      <c r="L65" s="54">
        <f t="shared" si="37"/>
        <v>0</v>
      </c>
      <c r="M65" s="115"/>
      <c r="N65" s="54">
        <f t="shared" si="38"/>
        <v>0</v>
      </c>
      <c r="O65" s="54">
        <f t="shared" si="39"/>
        <v>0</v>
      </c>
      <c r="P65" s="1"/>
    </row>
    <row r="66" spans="2:16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54">
        <f>IF(+I14&lt;F65,I14,D66)</f>
        <v>0</v>
      </c>
      <c r="F66" s="55">
        <f t="shared" si="33"/>
        <v>0</v>
      </c>
      <c r="G66" s="355">
        <f t="shared" si="34"/>
        <v>0</v>
      </c>
      <c r="H66" s="336">
        <f t="shared" si="35"/>
        <v>0</v>
      </c>
      <c r="I66" s="52">
        <f t="shared" si="36"/>
        <v>0</v>
      </c>
      <c r="J66" s="52"/>
      <c r="K66" s="115"/>
      <c r="L66" s="54">
        <f t="shared" si="37"/>
        <v>0</v>
      </c>
      <c r="M66" s="115"/>
      <c r="N66" s="54">
        <f t="shared" si="38"/>
        <v>0</v>
      </c>
      <c r="O66" s="54">
        <f t="shared" si="39"/>
        <v>0</v>
      </c>
      <c r="P66" s="1"/>
    </row>
    <row r="67" spans="2:16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54">
        <f>IF(+I14&lt;F66,I14,D67)</f>
        <v>0</v>
      </c>
      <c r="F67" s="55">
        <f t="shared" si="33"/>
        <v>0</v>
      </c>
      <c r="G67" s="355">
        <f t="shared" si="34"/>
        <v>0</v>
      </c>
      <c r="H67" s="336">
        <f t="shared" si="35"/>
        <v>0</v>
      </c>
      <c r="I67" s="52">
        <f t="shared" si="36"/>
        <v>0</v>
      </c>
      <c r="J67" s="52"/>
      <c r="K67" s="115"/>
      <c r="L67" s="54">
        <f t="shared" si="37"/>
        <v>0</v>
      </c>
      <c r="M67" s="115"/>
      <c r="N67" s="54">
        <f t="shared" si="38"/>
        <v>0</v>
      </c>
      <c r="O67" s="54">
        <f t="shared" si="39"/>
        <v>0</v>
      </c>
      <c r="P67" s="1"/>
    </row>
    <row r="68" spans="2:16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54">
        <f>IF(+I14&lt;F67,I14,D68)</f>
        <v>0</v>
      </c>
      <c r="F68" s="55">
        <f t="shared" si="33"/>
        <v>0</v>
      </c>
      <c r="G68" s="355">
        <f t="shared" si="34"/>
        <v>0</v>
      </c>
      <c r="H68" s="336">
        <f t="shared" si="35"/>
        <v>0</v>
      </c>
      <c r="I68" s="52">
        <f t="shared" si="36"/>
        <v>0</v>
      </c>
      <c r="J68" s="52"/>
      <c r="K68" s="115"/>
      <c r="L68" s="54">
        <f t="shared" si="37"/>
        <v>0</v>
      </c>
      <c r="M68" s="115"/>
      <c r="N68" s="54">
        <f t="shared" si="38"/>
        <v>0</v>
      </c>
      <c r="O68" s="54">
        <f t="shared" si="39"/>
        <v>0</v>
      </c>
      <c r="P68" s="1"/>
    </row>
    <row r="69" spans="2:16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54">
        <f>IF(+I14&lt;F68,I14,D69)</f>
        <v>0</v>
      </c>
      <c r="F69" s="55">
        <f t="shared" si="33"/>
        <v>0</v>
      </c>
      <c r="G69" s="355">
        <f t="shared" si="34"/>
        <v>0</v>
      </c>
      <c r="H69" s="336">
        <f t="shared" si="35"/>
        <v>0</v>
      </c>
      <c r="I69" s="52">
        <f t="shared" si="36"/>
        <v>0</v>
      </c>
      <c r="J69" s="52"/>
      <c r="K69" s="115"/>
      <c r="L69" s="54">
        <f t="shared" si="37"/>
        <v>0</v>
      </c>
      <c r="M69" s="115"/>
      <c r="N69" s="54">
        <f t="shared" si="38"/>
        <v>0</v>
      </c>
      <c r="O69" s="54">
        <f t="shared" si="39"/>
        <v>0</v>
      </c>
      <c r="P69" s="1"/>
    </row>
    <row r="70" spans="2:16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54">
        <f>IF(+I14&lt;F69,I14,D70)</f>
        <v>0</v>
      </c>
      <c r="F70" s="55">
        <f t="shared" si="33"/>
        <v>0</v>
      </c>
      <c r="G70" s="355">
        <f t="shared" si="34"/>
        <v>0</v>
      </c>
      <c r="H70" s="336">
        <f t="shared" si="35"/>
        <v>0</v>
      </c>
      <c r="I70" s="52">
        <f t="shared" si="36"/>
        <v>0</v>
      </c>
      <c r="J70" s="52"/>
      <c r="K70" s="115"/>
      <c r="L70" s="54">
        <f t="shared" si="37"/>
        <v>0</v>
      </c>
      <c r="M70" s="115"/>
      <c r="N70" s="54">
        <f t="shared" si="38"/>
        <v>0</v>
      </c>
      <c r="O70" s="54">
        <f t="shared" si="39"/>
        <v>0</v>
      </c>
      <c r="P70" s="1"/>
    </row>
    <row r="71" spans="2:16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54">
        <f>IF(+I14&lt;F70,I14,D71)</f>
        <v>0</v>
      </c>
      <c r="F71" s="55">
        <f t="shared" si="33"/>
        <v>0</v>
      </c>
      <c r="G71" s="355">
        <f t="shared" si="34"/>
        <v>0</v>
      </c>
      <c r="H71" s="336">
        <f t="shared" si="35"/>
        <v>0</v>
      </c>
      <c r="I71" s="52">
        <f t="shared" si="36"/>
        <v>0</v>
      </c>
      <c r="J71" s="52"/>
      <c r="K71" s="115"/>
      <c r="L71" s="54">
        <f t="shared" si="37"/>
        <v>0</v>
      </c>
      <c r="M71" s="115"/>
      <c r="N71" s="54">
        <f t="shared" si="38"/>
        <v>0</v>
      </c>
      <c r="O71" s="54">
        <f t="shared" si="39"/>
        <v>0</v>
      </c>
      <c r="P71" s="1"/>
    </row>
    <row r="72" spans="2:16" ht="13.5" thickBot="1">
      <c r="B72" s="7" t="str">
        <f t="shared" si="6"/>
        <v/>
      </c>
      <c r="C72" s="58">
        <f>IF(D11="","-",+C71+1)</f>
        <v>2063</v>
      </c>
      <c r="D72" s="59">
        <f>IF(F71+SUM(E$17:E71)=D$10,F71,D$10-SUM(E$17:E71))</f>
        <v>0</v>
      </c>
      <c r="E72" s="357">
        <f>IF(+I14&lt;F71,I14,D72)</f>
        <v>0</v>
      </c>
      <c r="F72" s="59">
        <f t="shared" si="33"/>
        <v>0</v>
      </c>
      <c r="G72" s="59">
        <f t="shared" si="34"/>
        <v>0</v>
      </c>
      <c r="H72" s="59">
        <f t="shared" si="35"/>
        <v>0</v>
      </c>
      <c r="I72" s="61">
        <f t="shared" si="36"/>
        <v>0</v>
      </c>
      <c r="J72" s="52"/>
      <c r="K72" s="116"/>
      <c r="L72" s="62">
        <f t="shared" si="37"/>
        <v>0</v>
      </c>
      <c r="M72" s="116"/>
      <c r="N72" s="62">
        <f t="shared" si="38"/>
        <v>0</v>
      </c>
      <c r="O72" s="62">
        <f t="shared" si="39"/>
        <v>0</v>
      </c>
      <c r="P72" s="1"/>
    </row>
    <row r="73" spans="2:16">
      <c r="C73" s="12" t="s">
        <v>77</v>
      </c>
      <c r="D73" s="266"/>
      <c r="E73" s="266">
        <f>SUM(E17:E72)</f>
        <v>14615635.999999998</v>
      </c>
      <c r="F73" s="266"/>
      <c r="G73" s="266">
        <f>SUM(G17:G72)</f>
        <v>53561244.621271938</v>
      </c>
      <c r="H73" s="266">
        <f>SUM(H17:H72)</f>
        <v>53561244.621271938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4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 t="str">
        <f>O4</f>
        <v>WFEC DA Adjustment</v>
      </c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IF(J92&lt;D11,0,VLOOKUP(J92,C17:O72,9))-P87</f>
        <v>1411551.2</v>
      </c>
      <c r="N87" s="364">
        <f>IF(J92&lt;D11,0,VLOOKUP(J92,C17:O72,11))-P87</f>
        <v>1411551.2</v>
      </c>
      <c r="O87" s="67">
        <f>+N87-M87</f>
        <v>0</v>
      </c>
      <c r="P87" s="265">
        <f>O5</f>
        <v>15688.800000000001</v>
      </c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IF(J92&lt;D11,0,VLOOKUP(J92,C99:P154,6))-P87</f>
        <v>1475898.5891810521</v>
      </c>
      <c r="N88" s="367">
        <f>IF(J92&lt;D11,0,VLOOKUP(J92,C99:P154,7))-P87</f>
        <v>1475898.5891810521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Cache-Snyder to Altus Jct. 138 kV line (w/2 ring bus stations)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64347.389181052102</v>
      </c>
      <c r="N89" s="369">
        <f>+N88-N87</f>
        <v>64347.389181052102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TP2004147</v>
      </c>
      <c r="E91" s="74" t="s">
        <v>373</v>
      </c>
      <c r="F91" s="74" t="str">
        <f>F9</f>
        <v>106 &amp; 119</v>
      </c>
      <c r="G91" s="74"/>
      <c r="H91" s="74"/>
      <c r="I91" s="74"/>
      <c r="J91" s="74"/>
    </row>
    <row r="92" spans="1:16">
      <c r="C92" s="128" t="s">
        <v>226</v>
      </c>
      <c r="D92" s="335">
        <v>14615636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2008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7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395017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391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2008</v>
      </c>
      <c r="D99" s="348">
        <v>0</v>
      </c>
      <c r="E99" s="352">
        <v>114341</v>
      </c>
      <c r="F99" s="351">
        <v>14429811</v>
      </c>
      <c r="G99" s="376">
        <v>7214905.5</v>
      </c>
      <c r="H99" s="377">
        <v>1260396</v>
      </c>
      <c r="I99" s="378">
        <v>1260396</v>
      </c>
      <c r="J99" s="54">
        <f t="shared" ref="J99:J131" si="40">+I99-H99</f>
        <v>0</v>
      </c>
      <c r="K99" s="54"/>
      <c r="L99" s="117">
        <v>1260396</v>
      </c>
      <c r="M99" s="53">
        <f t="shared" ref="M99:M130" si="41">IF(L99&lt;&gt;0,+H99-L99,0)</f>
        <v>0</v>
      </c>
      <c r="N99" s="117">
        <f>+L99</f>
        <v>1260396</v>
      </c>
      <c r="O99" s="53">
        <f t="shared" ref="O99:O130" si="42">IF(N99&lt;&gt;0,+I99-N99,0)</f>
        <v>0</v>
      </c>
      <c r="P99" s="53">
        <f t="shared" ref="P99:P130" si="43">+O99-M99</f>
        <v>0</v>
      </c>
    </row>
    <row r="100" spans="1:16">
      <c r="B100" s="7" t="str">
        <f>IF(D100=F99,"","IU")</f>
        <v>IU</v>
      </c>
      <c r="C100" s="50">
        <f>IF(D93="","-",+C99+1)</f>
        <v>2009</v>
      </c>
      <c r="D100" s="348">
        <v>14569170</v>
      </c>
      <c r="E100" s="352">
        <v>262206</v>
      </c>
      <c r="F100" s="351">
        <v>14306964</v>
      </c>
      <c r="G100" s="351">
        <v>14438067</v>
      </c>
      <c r="H100" s="352">
        <v>2373171</v>
      </c>
      <c r="I100" s="353">
        <v>2373171</v>
      </c>
      <c r="J100" s="54">
        <f t="shared" si="40"/>
        <v>0</v>
      </c>
      <c r="K100" s="54"/>
      <c r="L100" s="350">
        <f t="shared" ref="L100:L105" si="44">H100</f>
        <v>2373171</v>
      </c>
      <c r="M100" s="54">
        <f t="shared" si="41"/>
        <v>0</v>
      </c>
      <c r="N100" s="350">
        <f t="shared" ref="N100:N105" si="45">I100</f>
        <v>2373171</v>
      </c>
      <c r="O100" s="54">
        <f t="shared" si="42"/>
        <v>0</v>
      </c>
      <c r="P100" s="54">
        <f t="shared" si="43"/>
        <v>0</v>
      </c>
    </row>
    <row r="101" spans="1:16">
      <c r="B101" s="7" t="str">
        <f t="shared" ref="B101:B154" si="46">IF(D101=F100,"","IU")</f>
        <v>IU</v>
      </c>
      <c r="C101" s="50">
        <f>IF(D93="","-",+C100+1)</f>
        <v>2010</v>
      </c>
      <c r="D101" s="348">
        <v>14239089</v>
      </c>
      <c r="E101" s="352">
        <v>286581</v>
      </c>
      <c r="F101" s="351">
        <v>13952508</v>
      </c>
      <c r="G101" s="351">
        <v>14095798.5</v>
      </c>
      <c r="H101" s="352">
        <v>2553400</v>
      </c>
      <c r="I101" s="353">
        <v>2553400</v>
      </c>
      <c r="J101" s="54">
        <f t="shared" si="40"/>
        <v>0</v>
      </c>
      <c r="K101" s="54"/>
      <c r="L101" s="379">
        <f t="shared" si="44"/>
        <v>2553400</v>
      </c>
      <c r="M101" s="380">
        <f t="shared" si="41"/>
        <v>0</v>
      </c>
      <c r="N101" s="379">
        <f t="shared" si="45"/>
        <v>2553400</v>
      </c>
      <c r="O101" s="54">
        <f t="shared" si="42"/>
        <v>0</v>
      </c>
      <c r="P101" s="54">
        <f t="shared" si="43"/>
        <v>0</v>
      </c>
    </row>
    <row r="102" spans="1:16">
      <c r="B102" s="7" t="str">
        <f t="shared" si="46"/>
        <v/>
      </c>
      <c r="C102" s="50">
        <f>IF(D93="","-",+C101+1)</f>
        <v>2011</v>
      </c>
      <c r="D102" s="348">
        <v>13952508</v>
      </c>
      <c r="E102" s="352">
        <v>281070</v>
      </c>
      <c r="F102" s="351">
        <v>13671438</v>
      </c>
      <c r="G102" s="351">
        <v>13811973</v>
      </c>
      <c r="H102" s="352">
        <v>2212169</v>
      </c>
      <c r="I102" s="353">
        <v>2212169</v>
      </c>
      <c r="J102" s="54">
        <f t="shared" si="40"/>
        <v>0</v>
      </c>
      <c r="K102" s="54"/>
      <c r="L102" s="379">
        <f t="shared" si="44"/>
        <v>2212169</v>
      </c>
      <c r="M102" s="380">
        <f t="shared" si="41"/>
        <v>0</v>
      </c>
      <c r="N102" s="379">
        <f t="shared" si="45"/>
        <v>2212169</v>
      </c>
      <c r="O102" s="54">
        <f t="shared" si="42"/>
        <v>0</v>
      </c>
      <c r="P102" s="54">
        <f t="shared" si="43"/>
        <v>0</v>
      </c>
    </row>
    <row r="103" spans="1:16">
      <c r="B103" s="7" t="str">
        <f t="shared" si="46"/>
        <v/>
      </c>
      <c r="C103" s="50">
        <f>IF(D93="","-",+C102+1)</f>
        <v>2012</v>
      </c>
      <c r="D103" s="348">
        <v>13671438</v>
      </c>
      <c r="E103" s="352">
        <v>281070</v>
      </c>
      <c r="F103" s="351">
        <v>13390368</v>
      </c>
      <c r="G103" s="351">
        <v>13530903</v>
      </c>
      <c r="H103" s="352">
        <v>2227565</v>
      </c>
      <c r="I103" s="353">
        <v>2227565</v>
      </c>
      <c r="J103" s="54">
        <v>0</v>
      </c>
      <c r="K103" s="54"/>
      <c r="L103" s="379">
        <f t="shared" si="44"/>
        <v>2227565</v>
      </c>
      <c r="M103" s="380">
        <f t="shared" ref="M103:M108" si="47">IF(L103&lt;&gt;0,+H103-L103,0)</f>
        <v>0</v>
      </c>
      <c r="N103" s="379">
        <f t="shared" si="45"/>
        <v>2227565</v>
      </c>
      <c r="O103" s="54">
        <f t="shared" ref="O103:O108" si="48">IF(N103&lt;&gt;0,+I103-N103,0)</f>
        <v>0</v>
      </c>
      <c r="P103" s="54">
        <f t="shared" ref="P103:P108" si="49">+O103-M103</f>
        <v>0</v>
      </c>
    </row>
    <row r="104" spans="1:16">
      <c r="B104" s="7" t="str">
        <f t="shared" si="46"/>
        <v/>
      </c>
      <c r="C104" s="50">
        <f>IF(D93="","-",+C103+1)</f>
        <v>2013</v>
      </c>
      <c r="D104" s="348">
        <v>13390368</v>
      </c>
      <c r="E104" s="352">
        <v>281070</v>
      </c>
      <c r="F104" s="351">
        <v>13109298</v>
      </c>
      <c r="G104" s="351">
        <v>13249833</v>
      </c>
      <c r="H104" s="352">
        <v>2188246</v>
      </c>
      <c r="I104" s="353">
        <v>2188246</v>
      </c>
      <c r="J104" s="54">
        <v>0</v>
      </c>
      <c r="K104" s="54"/>
      <c r="L104" s="379">
        <f t="shared" si="44"/>
        <v>2188246</v>
      </c>
      <c r="M104" s="380">
        <f t="shared" si="47"/>
        <v>0</v>
      </c>
      <c r="N104" s="379">
        <f t="shared" si="45"/>
        <v>2188246</v>
      </c>
      <c r="O104" s="54">
        <f t="shared" si="48"/>
        <v>0</v>
      </c>
      <c r="P104" s="54">
        <f t="shared" si="49"/>
        <v>0</v>
      </c>
    </row>
    <row r="105" spans="1:16">
      <c r="B105" s="7" t="str">
        <f t="shared" si="46"/>
        <v/>
      </c>
      <c r="C105" s="50">
        <f>IF(D93="","-",+C104+1)</f>
        <v>2014</v>
      </c>
      <c r="D105" s="348">
        <v>13109298</v>
      </c>
      <c r="E105" s="352">
        <v>281070</v>
      </c>
      <c r="F105" s="351">
        <v>12828228</v>
      </c>
      <c r="G105" s="351">
        <v>12968763</v>
      </c>
      <c r="H105" s="352">
        <v>2104425</v>
      </c>
      <c r="I105" s="353">
        <v>2104425</v>
      </c>
      <c r="J105" s="54">
        <v>0</v>
      </c>
      <c r="K105" s="54"/>
      <c r="L105" s="379">
        <f t="shared" si="44"/>
        <v>2104425</v>
      </c>
      <c r="M105" s="380">
        <f t="shared" si="47"/>
        <v>0</v>
      </c>
      <c r="N105" s="379">
        <f t="shared" si="45"/>
        <v>2104425</v>
      </c>
      <c r="O105" s="54">
        <f t="shared" si="48"/>
        <v>0</v>
      </c>
      <c r="P105" s="54">
        <f t="shared" si="49"/>
        <v>0</v>
      </c>
    </row>
    <row r="106" spans="1:16">
      <c r="B106" s="7" t="str">
        <f t="shared" si="46"/>
        <v/>
      </c>
      <c r="C106" s="50">
        <f>IF(D93="","-",+C105+1)</f>
        <v>2015</v>
      </c>
      <c r="D106" s="348">
        <v>12828228</v>
      </c>
      <c r="E106" s="352">
        <v>281070</v>
      </c>
      <c r="F106" s="351">
        <v>12547158</v>
      </c>
      <c r="G106" s="351">
        <v>12687693</v>
      </c>
      <c r="H106" s="352">
        <v>2012204</v>
      </c>
      <c r="I106" s="353">
        <v>2012204</v>
      </c>
      <c r="J106" s="54">
        <f t="shared" si="40"/>
        <v>0</v>
      </c>
      <c r="K106" s="54"/>
      <c r="L106" s="379">
        <f t="shared" ref="L106:L111" si="50">H106</f>
        <v>2012204</v>
      </c>
      <c r="M106" s="380">
        <f t="shared" si="47"/>
        <v>0</v>
      </c>
      <c r="N106" s="379">
        <f t="shared" ref="N106:N111" si="51">I106</f>
        <v>2012204</v>
      </c>
      <c r="O106" s="54">
        <f t="shared" si="48"/>
        <v>0</v>
      </c>
      <c r="P106" s="54">
        <f t="shared" si="49"/>
        <v>0</v>
      </c>
    </row>
    <row r="107" spans="1:16">
      <c r="B107" s="7" t="str">
        <f t="shared" si="46"/>
        <v/>
      </c>
      <c r="C107" s="50">
        <f>IF(D93="","-",+C106+1)</f>
        <v>2016</v>
      </c>
      <c r="D107" s="348">
        <v>12547158</v>
      </c>
      <c r="E107" s="352">
        <v>317731</v>
      </c>
      <c r="F107" s="351">
        <v>12229427</v>
      </c>
      <c r="G107" s="351">
        <v>12388292.5</v>
      </c>
      <c r="H107" s="352">
        <v>1914777</v>
      </c>
      <c r="I107" s="353">
        <v>1914777</v>
      </c>
      <c r="J107" s="54">
        <f t="shared" si="40"/>
        <v>0</v>
      </c>
      <c r="K107" s="54"/>
      <c r="L107" s="379">
        <f t="shared" si="50"/>
        <v>1914777</v>
      </c>
      <c r="M107" s="380">
        <f t="shared" si="47"/>
        <v>0</v>
      </c>
      <c r="N107" s="379">
        <f t="shared" si="51"/>
        <v>1914777</v>
      </c>
      <c r="O107" s="54">
        <f t="shared" si="48"/>
        <v>0</v>
      </c>
      <c r="P107" s="54">
        <f t="shared" si="49"/>
        <v>0</v>
      </c>
    </row>
    <row r="108" spans="1:16">
      <c r="B108" s="7" t="str">
        <f t="shared" si="46"/>
        <v/>
      </c>
      <c r="C108" s="50">
        <f>IF(D93="","-",+C107+1)</f>
        <v>2017</v>
      </c>
      <c r="D108" s="348">
        <v>12229427</v>
      </c>
      <c r="E108" s="352">
        <v>317731</v>
      </c>
      <c r="F108" s="351">
        <v>11911696</v>
      </c>
      <c r="G108" s="351">
        <v>12070561.5</v>
      </c>
      <c r="H108" s="352">
        <v>1848912</v>
      </c>
      <c r="I108" s="353">
        <v>1848912</v>
      </c>
      <c r="J108" s="54">
        <f t="shared" si="40"/>
        <v>0</v>
      </c>
      <c r="K108" s="54"/>
      <c r="L108" s="379">
        <f t="shared" si="50"/>
        <v>1848912</v>
      </c>
      <c r="M108" s="380">
        <f t="shared" si="47"/>
        <v>0</v>
      </c>
      <c r="N108" s="379">
        <f t="shared" si="51"/>
        <v>1848912</v>
      </c>
      <c r="O108" s="54">
        <f t="shared" si="48"/>
        <v>0</v>
      </c>
      <c r="P108" s="54">
        <f t="shared" si="49"/>
        <v>0</v>
      </c>
    </row>
    <row r="109" spans="1:16">
      <c r="B109" s="7" t="str">
        <f t="shared" si="46"/>
        <v/>
      </c>
      <c r="C109" s="50">
        <f>IF(D93="","-",+C108+1)</f>
        <v>2018</v>
      </c>
      <c r="D109" s="348">
        <v>11911696</v>
      </c>
      <c r="E109" s="352">
        <v>339899</v>
      </c>
      <c r="F109" s="351">
        <v>11571797</v>
      </c>
      <c r="G109" s="351">
        <v>11741746.5</v>
      </c>
      <c r="H109" s="352">
        <v>1546194</v>
      </c>
      <c r="I109" s="353">
        <v>1546194</v>
      </c>
      <c r="J109" s="54">
        <f t="shared" si="40"/>
        <v>0</v>
      </c>
      <c r="K109" s="54"/>
      <c r="L109" s="379">
        <f t="shared" si="50"/>
        <v>1546194</v>
      </c>
      <c r="M109" s="380">
        <f t="shared" ref="M109" si="52">IF(L109&lt;&gt;0,+H109-L109,0)</f>
        <v>0</v>
      </c>
      <c r="N109" s="379">
        <f t="shared" si="51"/>
        <v>1546194</v>
      </c>
      <c r="O109" s="54">
        <f t="shared" ref="O109" si="53">IF(N109&lt;&gt;0,+I109-N109,0)</f>
        <v>0</v>
      </c>
      <c r="P109" s="54">
        <f t="shared" ref="P109" si="54">+O109-M109</f>
        <v>0</v>
      </c>
    </row>
    <row r="110" spans="1:16">
      <c r="B110" s="7" t="str">
        <f t="shared" si="46"/>
        <v/>
      </c>
      <c r="C110" s="50">
        <f>IF(D93="","-",+C109+1)</f>
        <v>2019</v>
      </c>
      <c r="D110" s="348">
        <v>11571797</v>
      </c>
      <c r="E110" s="352">
        <v>356479</v>
      </c>
      <c r="F110" s="351">
        <v>11215318</v>
      </c>
      <c r="G110" s="351">
        <v>11393557.5</v>
      </c>
      <c r="H110" s="352">
        <v>1531315</v>
      </c>
      <c r="I110" s="353">
        <v>1531315</v>
      </c>
      <c r="J110" s="54">
        <f t="shared" si="40"/>
        <v>0</v>
      </c>
      <c r="K110" s="54"/>
      <c r="L110" s="379">
        <f t="shared" si="50"/>
        <v>1531315</v>
      </c>
      <c r="M110" s="380">
        <f t="shared" ref="M110" si="55">IF(L110&lt;&gt;0,+H110-L110,0)</f>
        <v>0</v>
      </c>
      <c r="N110" s="379">
        <f t="shared" si="51"/>
        <v>1531315</v>
      </c>
      <c r="O110" s="54">
        <f t="shared" si="42"/>
        <v>0</v>
      </c>
      <c r="P110" s="54">
        <f t="shared" si="43"/>
        <v>0</v>
      </c>
    </row>
    <row r="111" spans="1:16">
      <c r="B111" s="7" t="str">
        <f t="shared" si="46"/>
        <v/>
      </c>
      <c r="C111" s="50">
        <f>IF(D93="","-",+C110+1)</f>
        <v>2020</v>
      </c>
      <c r="D111" s="348">
        <v>11215318</v>
      </c>
      <c r="E111" s="352">
        <v>339899</v>
      </c>
      <c r="F111" s="351">
        <v>10875419</v>
      </c>
      <c r="G111" s="351">
        <v>11045368.5</v>
      </c>
      <c r="H111" s="352">
        <v>1613399.6213131989</v>
      </c>
      <c r="I111" s="353">
        <v>1613399.6213131989</v>
      </c>
      <c r="J111" s="54">
        <f t="shared" si="40"/>
        <v>0</v>
      </c>
      <c r="K111" s="54"/>
      <c r="L111" s="379">
        <f t="shared" si="50"/>
        <v>1613399.6213131989</v>
      </c>
      <c r="M111" s="380">
        <f t="shared" ref="M111" si="56">IF(L111&lt;&gt;0,+H111-L111,0)</f>
        <v>0</v>
      </c>
      <c r="N111" s="379">
        <f t="shared" si="51"/>
        <v>1613399.6213131989</v>
      </c>
      <c r="O111" s="54">
        <f t="shared" si="42"/>
        <v>0</v>
      </c>
      <c r="P111" s="54">
        <f t="shared" si="43"/>
        <v>0</v>
      </c>
    </row>
    <row r="112" spans="1:16">
      <c r="B112" s="7" t="str">
        <f t="shared" si="46"/>
        <v/>
      </c>
      <c r="C112" s="50">
        <f>IF(D93="","-",+C111+1)</f>
        <v>2021</v>
      </c>
      <c r="D112" s="348">
        <v>10875419</v>
      </c>
      <c r="E112" s="352">
        <v>356479</v>
      </c>
      <c r="F112" s="351">
        <v>10518940</v>
      </c>
      <c r="G112" s="351">
        <v>10697179.5</v>
      </c>
      <c r="H112" s="352">
        <v>1573740.9328639174</v>
      </c>
      <c r="I112" s="353">
        <v>1573740.9328639174</v>
      </c>
      <c r="J112" s="54">
        <f t="shared" si="40"/>
        <v>0</v>
      </c>
      <c r="K112" s="54"/>
      <c r="L112" s="379">
        <f t="shared" ref="L112" si="57">H112</f>
        <v>1573740.9328639174</v>
      </c>
      <c r="M112" s="380">
        <f t="shared" ref="M112" si="58">IF(L112&lt;&gt;0,+H112-L112,0)</f>
        <v>0</v>
      </c>
      <c r="N112" s="379">
        <f t="shared" ref="N112" si="59">I112</f>
        <v>1573740.9328639174</v>
      </c>
      <c r="O112" s="54">
        <f t="shared" si="42"/>
        <v>0</v>
      </c>
      <c r="P112" s="54">
        <f t="shared" si="43"/>
        <v>0</v>
      </c>
    </row>
    <row r="113" spans="2:16">
      <c r="B113" s="7" t="str">
        <f t="shared" si="46"/>
        <v/>
      </c>
      <c r="C113" s="50">
        <f>IF(D93="","-",+C112+1)</f>
        <v>2022</v>
      </c>
      <c r="D113" s="348">
        <v>10518940</v>
      </c>
      <c r="E113" s="352">
        <v>374760</v>
      </c>
      <c r="F113" s="351">
        <v>10144180</v>
      </c>
      <c r="G113" s="351">
        <v>10331560</v>
      </c>
      <c r="H113" s="352">
        <v>1513118.6891439483</v>
      </c>
      <c r="I113" s="353">
        <v>1513118.6891439483</v>
      </c>
      <c r="J113" s="54">
        <f t="shared" si="40"/>
        <v>0</v>
      </c>
      <c r="K113" s="54"/>
      <c r="L113" s="379">
        <f t="shared" ref="L113" si="60">H113</f>
        <v>1513118.6891439483</v>
      </c>
      <c r="M113" s="380">
        <f t="shared" ref="M113" si="61">IF(L113&lt;&gt;0,+H113-L113,0)</f>
        <v>0</v>
      </c>
      <c r="N113" s="379">
        <f t="shared" ref="N113" si="62">I113</f>
        <v>1513118.6891439483</v>
      </c>
      <c r="O113" s="54">
        <f t="shared" ref="O113" si="63">IF(N113&lt;&gt;0,+I113-N113,0)</f>
        <v>0</v>
      </c>
      <c r="P113" s="54">
        <f t="shared" ref="P113" si="64">+O113-M113</f>
        <v>0</v>
      </c>
    </row>
    <row r="114" spans="2:16">
      <c r="B114" s="7" t="str">
        <f t="shared" si="46"/>
        <v/>
      </c>
      <c r="C114" s="50">
        <f>IF(D93="","-",+C113+1)</f>
        <v>2023</v>
      </c>
      <c r="D114" s="348">
        <v>10144180</v>
      </c>
      <c r="E114" s="352">
        <v>384622</v>
      </c>
      <c r="F114" s="351">
        <v>9759558</v>
      </c>
      <c r="G114" s="351">
        <v>9951869</v>
      </c>
      <c r="H114" s="352">
        <v>1521394.6682639646</v>
      </c>
      <c r="I114" s="353">
        <v>1521394.6682639646</v>
      </c>
      <c r="J114" s="54">
        <f t="shared" si="40"/>
        <v>0</v>
      </c>
      <c r="K114" s="54"/>
      <c r="L114" s="379">
        <f t="shared" ref="L114" si="65">H114</f>
        <v>1521394.6682639646</v>
      </c>
      <c r="M114" s="380">
        <f t="shared" ref="M114" si="66">IF(L114&lt;&gt;0,+H114-L114,0)</f>
        <v>0</v>
      </c>
      <c r="N114" s="379">
        <f t="shared" ref="N114" si="67">I114</f>
        <v>1521394.6682639646</v>
      </c>
      <c r="O114" s="54">
        <f t="shared" ref="O114" si="68">IF(N114&lt;&gt;0,+I114-N114,0)</f>
        <v>0</v>
      </c>
      <c r="P114" s="54">
        <f t="shared" ref="P114" si="69">+O114-M114</f>
        <v>0</v>
      </c>
    </row>
    <row r="115" spans="2:16">
      <c r="B115" s="7" t="str">
        <f t="shared" si="46"/>
        <v/>
      </c>
      <c r="C115" s="50">
        <f>IF(D93="","-",+C114+1)</f>
        <v>2024</v>
      </c>
      <c r="D115" s="348">
        <v>9759558</v>
      </c>
      <c r="E115" s="352">
        <v>395017</v>
      </c>
      <c r="F115" s="351">
        <v>9364541</v>
      </c>
      <c r="G115" s="351">
        <v>9562049.5</v>
      </c>
      <c r="H115" s="352">
        <v>1679379.1514760938</v>
      </c>
      <c r="I115" s="353">
        <v>1679379.1514760938</v>
      </c>
      <c r="J115" s="54">
        <f t="shared" si="40"/>
        <v>0</v>
      </c>
      <c r="K115" s="54"/>
      <c r="L115" s="379">
        <f t="shared" ref="L115" si="70">H115</f>
        <v>1679379.1514760938</v>
      </c>
      <c r="M115" s="380">
        <f t="shared" ref="M115" si="71">IF(L115&lt;&gt;0,+H115-L115,0)</f>
        <v>0</v>
      </c>
      <c r="N115" s="379">
        <f t="shared" ref="N115" si="72">I115</f>
        <v>1679379.1514760938</v>
      </c>
      <c r="O115" s="54">
        <f t="shared" ref="O115" si="73">IF(N115&lt;&gt;0,+I115-N115,0)</f>
        <v>0</v>
      </c>
      <c r="P115" s="54">
        <f t="shared" ref="P115" si="74">+O115-M115</f>
        <v>0</v>
      </c>
    </row>
    <row r="116" spans="2:16">
      <c r="B116" s="7" t="str">
        <f t="shared" si="46"/>
        <v/>
      </c>
      <c r="C116" s="50">
        <f>IF(D93="","-",+C115+1)</f>
        <v>2025</v>
      </c>
      <c r="D116" s="12">
        <f>IF(F115+SUM(E$99:E115)=D$92,F115,D$92-SUM(E$99:E115))</f>
        <v>9364541</v>
      </c>
      <c r="E116" s="355">
        <f>IF(+J96&lt;F115,J96,D116)</f>
        <v>395017</v>
      </c>
      <c r="F116" s="55">
        <f t="shared" ref="F116:F130" si="75">+D116-E116</f>
        <v>8969524</v>
      </c>
      <c r="G116" s="55">
        <f t="shared" ref="G116:G130" si="76">+(F116+D116)/2</f>
        <v>9167032.5</v>
      </c>
      <c r="H116" s="355">
        <f t="shared" ref="H116:H154" si="77">(D116+F116)/2*J$94+E116</f>
        <v>1491587.3891810521</v>
      </c>
      <c r="I116" s="381">
        <f t="shared" ref="I116:I153" si="78">+J$95*G116+E116</f>
        <v>1491587.3891810521</v>
      </c>
      <c r="J116" s="54">
        <f t="shared" si="40"/>
        <v>0</v>
      </c>
      <c r="K116" s="54"/>
      <c r="L116" s="115"/>
      <c r="M116" s="54">
        <f t="shared" si="41"/>
        <v>0</v>
      </c>
      <c r="N116" s="115"/>
      <c r="O116" s="54">
        <f t="shared" si="42"/>
        <v>0</v>
      </c>
      <c r="P116" s="54">
        <f t="shared" si="43"/>
        <v>0</v>
      </c>
    </row>
    <row r="117" spans="2:16">
      <c r="B117" s="7" t="str">
        <f t="shared" si="46"/>
        <v/>
      </c>
      <c r="C117" s="50">
        <f>IF(D93="","-",+C116+1)</f>
        <v>2026</v>
      </c>
      <c r="D117" s="12">
        <f>IF(F116+SUM(E$99:E116)=D$92,F116,D$92-SUM(E$99:E116))</f>
        <v>8969524</v>
      </c>
      <c r="E117" s="355">
        <f>IF(+J96&lt;F116,J96,D117)</f>
        <v>395017</v>
      </c>
      <c r="F117" s="55">
        <f t="shared" si="75"/>
        <v>8574507</v>
      </c>
      <c r="G117" s="55">
        <f t="shared" si="76"/>
        <v>8772015.5</v>
      </c>
      <c r="H117" s="355">
        <f t="shared" si="77"/>
        <v>1444335.0263882801</v>
      </c>
      <c r="I117" s="381">
        <f t="shared" si="78"/>
        <v>1444335.0263882801</v>
      </c>
      <c r="J117" s="54">
        <f t="shared" si="40"/>
        <v>0</v>
      </c>
      <c r="K117" s="54"/>
      <c r="L117" s="115"/>
      <c r="M117" s="54">
        <f t="shared" si="41"/>
        <v>0</v>
      </c>
      <c r="N117" s="115"/>
      <c r="O117" s="54">
        <f t="shared" si="42"/>
        <v>0</v>
      </c>
      <c r="P117" s="54">
        <f t="shared" si="43"/>
        <v>0</v>
      </c>
    </row>
    <row r="118" spans="2:16">
      <c r="B118" s="7" t="str">
        <f t="shared" si="46"/>
        <v/>
      </c>
      <c r="C118" s="50">
        <f>IF(D93="","-",+C117+1)</f>
        <v>2027</v>
      </c>
      <c r="D118" s="12">
        <f>IF(F117+SUM(E$99:E117)=D$92,F117,D$92-SUM(E$99:E117))</f>
        <v>8574507</v>
      </c>
      <c r="E118" s="355">
        <f>IF(+J96&lt;F117,J96,D118)</f>
        <v>395017</v>
      </c>
      <c r="F118" s="55">
        <f t="shared" si="75"/>
        <v>8179490</v>
      </c>
      <c r="G118" s="55">
        <f t="shared" si="76"/>
        <v>8376998.5</v>
      </c>
      <c r="H118" s="355">
        <f t="shared" si="77"/>
        <v>1397082.6635955081</v>
      </c>
      <c r="I118" s="381">
        <f t="shared" si="78"/>
        <v>1397082.6635955081</v>
      </c>
      <c r="J118" s="54">
        <f t="shared" si="40"/>
        <v>0</v>
      </c>
      <c r="K118" s="54"/>
      <c r="L118" s="115"/>
      <c r="M118" s="54">
        <f t="shared" si="41"/>
        <v>0</v>
      </c>
      <c r="N118" s="115"/>
      <c r="O118" s="54">
        <f t="shared" si="42"/>
        <v>0</v>
      </c>
      <c r="P118" s="54">
        <f t="shared" si="43"/>
        <v>0</v>
      </c>
    </row>
    <row r="119" spans="2:16">
      <c r="B119" s="7" t="str">
        <f t="shared" si="46"/>
        <v/>
      </c>
      <c r="C119" s="50">
        <f>IF(D93="","-",+C118+1)</f>
        <v>2028</v>
      </c>
      <c r="D119" s="12">
        <f>IF(F118+SUM(E$99:E118)=D$92,F118,D$92-SUM(E$99:E118))</f>
        <v>8179490</v>
      </c>
      <c r="E119" s="355">
        <f>IF(+J96&lt;F118,J96,D119)</f>
        <v>395017</v>
      </c>
      <c r="F119" s="55">
        <f t="shared" si="75"/>
        <v>7784473</v>
      </c>
      <c r="G119" s="55">
        <f t="shared" si="76"/>
        <v>7981981.5</v>
      </c>
      <c r="H119" s="355">
        <f t="shared" si="77"/>
        <v>1349830.3008027361</v>
      </c>
      <c r="I119" s="381">
        <f t="shared" si="78"/>
        <v>1349830.3008027361</v>
      </c>
      <c r="J119" s="54">
        <f t="shared" si="40"/>
        <v>0</v>
      </c>
      <c r="K119" s="54"/>
      <c r="L119" s="115"/>
      <c r="M119" s="54">
        <f t="shared" si="41"/>
        <v>0</v>
      </c>
      <c r="N119" s="115"/>
      <c r="O119" s="54">
        <f t="shared" si="42"/>
        <v>0</v>
      </c>
      <c r="P119" s="54">
        <f t="shared" si="43"/>
        <v>0</v>
      </c>
    </row>
    <row r="120" spans="2:16">
      <c r="B120" s="7" t="str">
        <f t="shared" si="46"/>
        <v/>
      </c>
      <c r="C120" s="50">
        <f>IF(D93="","-",+C119+1)</f>
        <v>2029</v>
      </c>
      <c r="D120" s="12">
        <f>IF(F119+SUM(E$99:E119)=D$92,F119,D$92-SUM(E$99:E119))</f>
        <v>7784473</v>
      </c>
      <c r="E120" s="355">
        <f>IF(+J96&lt;F119,J96,D120)</f>
        <v>395017</v>
      </c>
      <c r="F120" s="55">
        <f t="shared" si="75"/>
        <v>7389456</v>
      </c>
      <c r="G120" s="55">
        <f t="shared" si="76"/>
        <v>7586964.5</v>
      </c>
      <c r="H120" s="355">
        <f t="shared" si="77"/>
        <v>1302577.9380099641</v>
      </c>
      <c r="I120" s="381">
        <f t="shared" si="78"/>
        <v>1302577.9380099641</v>
      </c>
      <c r="J120" s="54">
        <f t="shared" si="40"/>
        <v>0</v>
      </c>
      <c r="K120" s="54"/>
      <c r="L120" s="115"/>
      <c r="M120" s="54">
        <f t="shared" si="41"/>
        <v>0</v>
      </c>
      <c r="N120" s="115"/>
      <c r="O120" s="54">
        <f t="shared" si="42"/>
        <v>0</v>
      </c>
      <c r="P120" s="54">
        <f t="shared" si="43"/>
        <v>0</v>
      </c>
    </row>
    <row r="121" spans="2:16">
      <c r="B121" s="7" t="str">
        <f t="shared" si="46"/>
        <v/>
      </c>
      <c r="C121" s="50">
        <f>IF(D93="","-",+C120+1)</f>
        <v>2030</v>
      </c>
      <c r="D121" s="12">
        <f>IF(F120+SUM(E$99:E120)=D$92,F120,D$92-SUM(E$99:E120))</f>
        <v>7389456</v>
      </c>
      <c r="E121" s="355">
        <f>IF(+J96&lt;F120,J96,D121)</f>
        <v>395017</v>
      </c>
      <c r="F121" s="55">
        <f t="shared" si="75"/>
        <v>6994439</v>
      </c>
      <c r="G121" s="55">
        <f t="shared" si="76"/>
        <v>7191947.5</v>
      </c>
      <c r="H121" s="355">
        <f t="shared" si="77"/>
        <v>1255325.5752171921</v>
      </c>
      <c r="I121" s="381">
        <f t="shared" si="78"/>
        <v>1255325.5752171921</v>
      </c>
      <c r="J121" s="54">
        <f t="shared" si="40"/>
        <v>0</v>
      </c>
      <c r="K121" s="54"/>
      <c r="L121" s="115"/>
      <c r="M121" s="54">
        <f t="shared" si="41"/>
        <v>0</v>
      </c>
      <c r="N121" s="115"/>
      <c r="O121" s="54">
        <f t="shared" si="42"/>
        <v>0</v>
      </c>
      <c r="P121" s="54">
        <f t="shared" si="43"/>
        <v>0</v>
      </c>
    </row>
    <row r="122" spans="2:16">
      <c r="B122" s="7" t="str">
        <f t="shared" si="46"/>
        <v/>
      </c>
      <c r="C122" s="50">
        <f>IF(D93="","-",+C121+1)</f>
        <v>2031</v>
      </c>
      <c r="D122" s="12">
        <f>IF(F121+SUM(E$99:E121)=D$92,F121,D$92-SUM(E$99:E121))</f>
        <v>6994439</v>
      </c>
      <c r="E122" s="355">
        <f>IF(+J96&lt;F121,J96,D122)</f>
        <v>395017</v>
      </c>
      <c r="F122" s="55">
        <f t="shared" si="75"/>
        <v>6599422</v>
      </c>
      <c r="G122" s="55">
        <f t="shared" si="76"/>
        <v>6796930.5</v>
      </c>
      <c r="H122" s="355">
        <f t="shared" si="77"/>
        <v>1208073.2124244203</v>
      </c>
      <c r="I122" s="381">
        <f t="shared" si="78"/>
        <v>1208073.2124244203</v>
      </c>
      <c r="J122" s="54">
        <f t="shared" si="40"/>
        <v>0</v>
      </c>
      <c r="K122" s="54"/>
      <c r="L122" s="115"/>
      <c r="M122" s="54">
        <f t="shared" si="41"/>
        <v>0</v>
      </c>
      <c r="N122" s="115"/>
      <c r="O122" s="54">
        <f t="shared" si="42"/>
        <v>0</v>
      </c>
      <c r="P122" s="54">
        <f t="shared" si="43"/>
        <v>0</v>
      </c>
    </row>
    <row r="123" spans="2:16">
      <c r="B123" s="7" t="str">
        <f t="shared" si="46"/>
        <v/>
      </c>
      <c r="C123" s="50">
        <f>IF(D93="","-",+C122+1)</f>
        <v>2032</v>
      </c>
      <c r="D123" s="12">
        <f>IF(F122+SUM(E$99:E122)=D$92,F122,D$92-SUM(E$99:E122))</f>
        <v>6599422</v>
      </c>
      <c r="E123" s="355">
        <f>IF(+J96&lt;F122,J96,D123)</f>
        <v>395017</v>
      </c>
      <c r="F123" s="55">
        <f t="shared" si="75"/>
        <v>6204405</v>
      </c>
      <c r="G123" s="55">
        <f t="shared" si="76"/>
        <v>6401913.5</v>
      </c>
      <c r="H123" s="355">
        <f t="shared" si="77"/>
        <v>1160820.849631648</v>
      </c>
      <c r="I123" s="381">
        <f t="shared" si="78"/>
        <v>1160820.849631648</v>
      </c>
      <c r="J123" s="54">
        <f t="shared" si="40"/>
        <v>0</v>
      </c>
      <c r="K123" s="54"/>
      <c r="L123" s="115"/>
      <c r="M123" s="54">
        <f t="shared" si="41"/>
        <v>0</v>
      </c>
      <c r="N123" s="115"/>
      <c r="O123" s="54">
        <f t="shared" si="42"/>
        <v>0</v>
      </c>
      <c r="P123" s="54">
        <f t="shared" si="43"/>
        <v>0</v>
      </c>
    </row>
    <row r="124" spans="2:16">
      <c r="B124" s="7" t="str">
        <f t="shared" si="46"/>
        <v/>
      </c>
      <c r="C124" s="50">
        <f>IF(D93="","-",+C123+1)</f>
        <v>2033</v>
      </c>
      <c r="D124" s="12">
        <f>IF(F123+SUM(E$99:E123)=D$92,F123,D$92-SUM(E$99:E123))</f>
        <v>6204405</v>
      </c>
      <c r="E124" s="355">
        <f>IF(+J96&lt;F123,J96,D124)</f>
        <v>395017</v>
      </c>
      <c r="F124" s="55">
        <f t="shared" si="75"/>
        <v>5809388</v>
      </c>
      <c r="G124" s="55">
        <f t="shared" si="76"/>
        <v>6006896.5</v>
      </c>
      <c r="H124" s="355">
        <f t="shared" si="77"/>
        <v>1113568.4868388763</v>
      </c>
      <c r="I124" s="381">
        <f t="shared" si="78"/>
        <v>1113568.4868388763</v>
      </c>
      <c r="J124" s="54">
        <f t="shared" si="40"/>
        <v>0</v>
      </c>
      <c r="K124" s="54"/>
      <c r="L124" s="115"/>
      <c r="M124" s="54">
        <f t="shared" si="41"/>
        <v>0</v>
      </c>
      <c r="N124" s="115"/>
      <c r="O124" s="54">
        <f t="shared" si="42"/>
        <v>0</v>
      </c>
      <c r="P124" s="54">
        <f t="shared" si="43"/>
        <v>0</v>
      </c>
    </row>
    <row r="125" spans="2:16">
      <c r="B125" s="7" t="str">
        <f t="shared" si="46"/>
        <v/>
      </c>
      <c r="C125" s="50">
        <f>IF(D93="","-",+C124+1)</f>
        <v>2034</v>
      </c>
      <c r="D125" s="12">
        <f>IF(F124+SUM(E$99:E124)=D$92,F124,D$92-SUM(E$99:E124))</f>
        <v>5809388</v>
      </c>
      <c r="E125" s="355">
        <f>IF(+J96&lt;F124,J96,D125)</f>
        <v>395017</v>
      </c>
      <c r="F125" s="55">
        <f t="shared" si="75"/>
        <v>5414371</v>
      </c>
      <c r="G125" s="55">
        <f t="shared" si="76"/>
        <v>5611879.5</v>
      </c>
      <c r="H125" s="355">
        <f t="shared" si="77"/>
        <v>1066316.124046104</v>
      </c>
      <c r="I125" s="381">
        <f t="shared" si="78"/>
        <v>1066316.124046104</v>
      </c>
      <c r="J125" s="54">
        <f t="shared" si="40"/>
        <v>0</v>
      </c>
      <c r="K125" s="54"/>
      <c r="L125" s="115"/>
      <c r="M125" s="54">
        <f t="shared" si="41"/>
        <v>0</v>
      </c>
      <c r="N125" s="115"/>
      <c r="O125" s="54">
        <f t="shared" si="42"/>
        <v>0</v>
      </c>
      <c r="P125" s="54">
        <f t="shared" si="43"/>
        <v>0</v>
      </c>
    </row>
    <row r="126" spans="2:16">
      <c r="B126" s="7" t="str">
        <f t="shared" si="46"/>
        <v/>
      </c>
      <c r="C126" s="50">
        <f>IF(D93="","-",+C125+1)</f>
        <v>2035</v>
      </c>
      <c r="D126" s="12">
        <f>IF(F125+SUM(E$99:E125)=D$92,F125,D$92-SUM(E$99:E125))</f>
        <v>5414371</v>
      </c>
      <c r="E126" s="355">
        <f>IF(+J96&lt;F125,J96,D126)</f>
        <v>395017</v>
      </c>
      <c r="F126" s="55">
        <f t="shared" si="75"/>
        <v>5019354</v>
      </c>
      <c r="G126" s="55">
        <f t="shared" si="76"/>
        <v>5216862.5</v>
      </c>
      <c r="H126" s="355">
        <f t="shared" si="77"/>
        <v>1019063.7612533321</v>
      </c>
      <c r="I126" s="381">
        <f t="shared" si="78"/>
        <v>1019063.7612533321</v>
      </c>
      <c r="J126" s="54">
        <f t="shared" si="40"/>
        <v>0</v>
      </c>
      <c r="K126" s="54"/>
      <c r="L126" s="115"/>
      <c r="M126" s="54">
        <f t="shared" si="41"/>
        <v>0</v>
      </c>
      <c r="N126" s="115"/>
      <c r="O126" s="54">
        <f t="shared" si="42"/>
        <v>0</v>
      </c>
      <c r="P126" s="54">
        <f t="shared" si="43"/>
        <v>0</v>
      </c>
    </row>
    <row r="127" spans="2:16">
      <c r="B127" s="7" t="str">
        <f t="shared" si="46"/>
        <v/>
      </c>
      <c r="C127" s="50">
        <f>IF(D93="","-",+C126+1)</f>
        <v>2036</v>
      </c>
      <c r="D127" s="12">
        <f>IF(F126+SUM(E$99:E126)=D$92,F126,D$92-SUM(E$99:E126))</f>
        <v>5019354</v>
      </c>
      <c r="E127" s="355">
        <f>IF(+J96&lt;F126,J96,D127)</f>
        <v>395017</v>
      </c>
      <c r="F127" s="55">
        <f t="shared" si="75"/>
        <v>4624337</v>
      </c>
      <c r="G127" s="55">
        <f t="shared" si="76"/>
        <v>4821845.5</v>
      </c>
      <c r="H127" s="355">
        <f t="shared" si="77"/>
        <v>971811.39846056013</v>
      </c>
      <c r="I127" s="381">
        <f t="shared" si="78"/>
        <v>971811.39846056013</v>
      </c>
      <c r="J127" s="54">
        <f t="shared" si="40"/>
        <v>0</v>
      </c>
      <c r="K127" s="54"/>
      <c r="L127" s="115"/>
      <c r="M127" s="54">
        <f t="shared" si="41"/>
        <v>0</v>
      </c>
      <c r="N127" s="115"/>
      <c r="O127" s="54">
        <f t="shared" si="42"/>
        <v>0</v>
      </c>
      <c r="P127" s="54">
        <f t="shared" si="43"/>
        <v>0</v>
      </c>
    </row>
    <row r="128" spans="2:16">
      <c r="B128" s="7" t="str">
        <f t="shared" si="46"/>
        <v/>
      </c>
      <c r="C128" s="50">
        <f>IF(D93="","-",+C127+1)</f>
        <v>2037</v>
      </c>
      <c r="D128" s="12">
        <f>IF(F127+SUM(E$99:E127)=D$92,F127,D$92-SUM(E$99:E127))</f>
        <v>4624337</v>
      </c>
      <c r="E128" s="355">
        <f>IF(+J96&lt;F127,J96,D128)</f>
        <v>395017</v>
      </c>
      <c r="F128" s="55">
        <f t="shared" si="75"/>
        <v>4229320</v>
      </c>
      <c r="G128" s="55">
        <f t="shared" si="76"/>
        <v>4426828.5</v>
      </c>
      <c r="H128" s="355">
        <f t="shared" si="77"/>
        <v>924559.03566778812</v>
      </c>
      <c r="I128" s="381">
        <f t="shared" si="78"/>
        <v>924559.03566778812</v>
      </c>
      <c r="J128" s="54">
        <f t="shared" si="40"/>
        <v>0</v>
      </c>
      <c r="K128" s="54"/>
      <c r="L128" s="115"/>
      <c r="M128" s="54">
        <f t="shared" si="41"/>
        <v>0</v>
      </c>
      <c r="N128" s="115"/>
      <c r="O128" s="54">
        <f t="shared" si="42"/>
        <v>0</v>
      </c>
      <c r="P128" s="54">
        <f t="shared" si="43"/>
        <v>0</v>
      </c>
    </row>
    <row r="129" spans="2:16">
      <c r="B129" s="7" t="str">
        <f t="shared" si="46"/>
        <v/>
      </c>
      <c r="C129" s="50">
        <f>IF(D93="","-",+C128+1)</f>
        <v>2038</v>
      </c>
      <c r="D129" s="12">
        <f>IF(F128+SUM(E$99:E128)=D$92,F128,D$92-SUM(E$99:E128))</f>
        <v>4229320</v>
      </c>
      <c r="E129" s="355">
        <f>IF(+J96&lt;F128,J96,D129)</f>
        <v>395017</v>
      </c>
      <c r="F129" s="55">
        <f t="shared" si="75"/>
        <v>3834303</v>
      </c>
      <c r="G129" s="55">
        <f t="shared" si="76"/>
        <v>4031811.5</v>
      </c>
      <c r="H129" s="355">
        <f t="shared" si="77"/>
        <v>877306.67287501623</v>
      </c>
      <c r="I129" s="381">
        <f t="shared" si="78"/>
        <v>877306.67287501623</v>
      </c>
      <c r="J129" s="54">
        <f t="shared" si="40"/>
        <v>0</v>
      </c>
      <c r="K129" s="54"/>
      <c r="L129" s="115"/>
      <c r="M129" s="54">
        <f t="shared" si="41"/>
        <v>0</v>
      </c>
      <c r="N129" s="115"/>
      <c r="O129" s="54">
        <f t="shared" si="42"/>
        <v>0</v>
      </c>
      <c r="P129" s="54">
        <f t="shared" si="43"/>
        <v>0</v>
      </c>
    </row>
    <row r="130" spans="2:16">
      <c r="B130" s="7" t="str">
        <f t="shared" si="46"/>
        <v/>
      </c>
      <c r="C130" s="50">
        <f>IF(D93="","-",+C129+1)</f>
        <v>2039</v>
      </c>
      <c r="D130" s="12">
        <f>IF(F129+SUM(E$99:E129)=D$92,F129,D$92-SUM(E$99:E129))</f>
        <v>3834303</v>
      </c>
      <c r="E130" s="355">
        <f>IF(+J96&lt;F129,J96,D130)</f>
        <v>395017</v>
      </c>
      <c r="F130" s="55">
        <f t="shared" si="75"/>
        <v>3439286</v>
      </c>
      <c r="G130" s="55">
        <f t="shared" si="76"/>
        <v>3636794.5</v>
      </c>
      <c r="H130" s="355">
        <f t="shared" si="77"/>
        <v>830054.31008224422</v>
      </c>
      <c r="I130" s="381">
        <f t="shared" si="78"/>
        <v>830054.31008224422</v>
      </c>
      <c r="J130" s="54">
        <f t="shared" si="40"/>
        <v>0</v>
      </c>
      <c r="K130" s="54"/>
      <c r="L130" s="115"/>
      <c r="M130" s="54">
        <f t="shared" si="41"/>
        <v>0</v>
      </c>
      <c r="N130" s="115"/>
      <c r="O130" s="54">
        <f t="shared" si="42"/>
        <v>0</v>
      </c>
      <c r="P130" s="54">
        <f t="shared" si="43"/>
        <v>0</v>
      </c>
    </row>
    <row r="131" spans="2:16">
      <c r="B131" s="7" t="str">
        <f t="shared" si="46"/>
        <v/>
      </c>
      <c r="C131" s="50">
        <f>IF(D93="","-",+C130+1)</f>
        <v>2040</v>
      </c>
      <c r="D131" s="12">
        <f>IF(F130+SUM(E$99:E130)=D$92,F130,D$92-SUM(E$99:E130))</f>
        <v>3439286</v>
      </c>
      <c r="E131" s="355">
        <f>IF(+J96&lt;F130,J96,D131)</f>
        <v>395017</v>
      </c>
      <c r="F131" s="55">
        <f t="shared" ref="F131:F154" si="79">+D131-E131</f>
        <v>3044269</v>
      </c>
      <c r="G131" s="55">
        <f t="shared" ref="G131:G154" si="80">+(F131+D131)/2</f>
        <v>3241777.5</v>
      </c>
      <c r="H131" s="355">
        <f t="shared" si="77"/>
        <v>782801.94728947221</v>
      </c>
      <c r="I131" s="381">
        <f t="shared" si="78"/>
        <v>782801.94728947221</v>
      </c>
      <c r="J131" s="54">
        <f t="shared" si="40"/>
        <v>0</v>
      </c>
      <c r="K131" s="54"/>
      <c r="L131" s="115"/>
      <c r="M131" s="54">
        <f t="shared" ref="M131:M154" si="81">IF(L131&lt;&gt;0,+H131-L131,0)</f>
        <v>0</v>
      </c>
      <c r="N131" s="115"/>
      <c r="O131" s="54">
        <f t="shared" ref="O131:O154" si="82">IF(N131&lt;&gt;0,+I131-N131,0)</f>
        <v>0</v>
      </c>
      <c r="P131" s="54">
        <f t="shared" ref="P131:P154" si="83">+O131-M131</f>
        <v>0</v>
      </c>
    </row>
    <row r="132" spans="2:16">
      <c r="B132" s="7" t="str">
        <f t="shared" si="46"/>
        <v/>
      </c>
      <c r="C132" s="50">
        <f>IF(D93="","-",+C131+1)</f>
        <v>2041</v>
      </c>
      <c r="D132" s="12">
        <f>IF(F131+SUM(E$99:E131)=D$92,F131,D$92-SUM(E$99:E131))</f>
        <v>3044269</v>
      </c>
      <c r="E132" s="355">
        <f>IF(+J96&lt;F131,J96,D132)</f>
        <v>395017</v>
      </c>
      <c r="F132" s="55">
        <f t="shared" si="79"/>
        <v>2649252</v>
      </c>
      <c r="G132" s="55">
        <f t="shared" si="80"/>
        <v>2846760.5</v>
      </c>
      <c r="H132" s="355">
        <f t="shared" si="77"/>
        <v>735549.5844967002</v>
      </c>
      <c r="I132" s="381">
        <f t="shared" si="78"/>
        <v>735549.5844967002</v>
      </c>
      <c r="J132" s="54">
        <f t="shared" ref="J132:J154" si="84">+I132-H132</f>
        <v>0</v>
      </c>
      <c r="K132" s="54"/>
      <c r="L132" s="115"/>
      <c r="M132" s="54">
        <f t="shared" si="81"/>
        <v>0</v>
      </c>
      <c r="N132" s="115"/>
      <c r="O132" s="54">
        <f t="shared" si="82"/>
        <v>0</v>
      </c>
      <c r="P132" s="54">
        <f t="shared" si="83"/>
        <v>0</v>
      </c>
    </row>
    <row r="133" spans="2:16">
      <c r="B133" s="7" t="str">
        <f t="shared" si="46"/>
        <v/>
      </c>
      <c r="C133" s="50">
        <f>IF(D93="","-",+C132+1)</f>
        <v>2042</v>
      </c>
      <c r="D133" s="12">
        <f>IF(F132+SUM(E$99:E132)=D$92,F132,D$92-SUM(E$99:E132))</f>
        <v>2649252</v>
      </c>
      <c r="E133" s="355">
        <f>IF(+J96&lt;F132,J96,D133)</f>
        <v>395017</v>
      </c>
      <c r="F133" s="55">
        <f t="shared" si="79"/>
        <v>2254235</v>
      </c>
      <c r="G133" s="55">
        <f t="shared" si="80"/>
        <v>2451743.5</v>
      </c>
      <c r="H133" s="355">
        <f t="shared" si="77"/>
        <v>688297.2217039282</v>
      </c>
      <c r="I133" s="381">
        <f t="shared" si="78"/>
        <v>688297.2217039282</v>
      </c>
      <c r="J133" s="54">
        <f t="shared" si="84"/>
        <v>0</v>
      </c>
      <c r="K133" s="54"/>
      <c r="L133" s="115"/>
      <c r="M133" s="54">
        <f t="shared" si="81"/>
        <v>0</v>
      </c>
      <c r="N133" s="115"/>
      <c r="O133" s="54">
        <f t="shared" si="82"/>
        <v>0</v>
      </c>
      <c r="P133" s="54">
        <f t="shared" si="83"/>
        <v>0</v>
      </c>
    </row>
    <row r="134" spans="2:16">
      <c r="B134" s="7" t="str">
        <f t="shared" si="46"/>
        <v/>
      </c>
      <c r="C134" s="50">
        <f>IF(D93="","-",+C133+1)</f>
        <v>2043</v>
      </c>
      <c r="D134" s="12">
        <f>IF(F133+SUM(E$99:E133)=D$92,F133,D$92-SUM(E$99:E133))</f>
        <v>2254235</v>
      </c>
      <c r="E134" s="355">
        <f>IF(+J96&lt;F133,J96,D134)</f>
        <v>395017</v>
      </c>
      <c r="F134" s="55">
        <f t="shared" si="79"/>
        <v>1859218</v>
      </c>
      <c r="G134" s="55">
        <f t="shared" si="80"/>
        <v>2056726.5</v>
      </c>
      <c r="H134" s="355">
        <f t="shared" si="77"/>
        <v>641044.85891115619</v>
      </c>
      <c r="I134" s="381">
        <f t="shared" si="78"/>
        <v>641044.85891115619</v>
      </c>
      <c r="J134" s="54">
        <f t="shared" si="84"/>
        <v>0</v>
      </c>
      <c r="K134" s="54"/>
      <c r="L134" s="115"/>
      <c r="M134" s="54">
        <f t="shared" si="81"/>
        <v>0</v>
      </c>
      <c r="N134" s="115"/>
      <c r="O134" s="54">
        <f t="shared" si="82"/>
        <v>0</v>
      </c>
      <c r="P134" s="54">
        <f t="shared" si="83"/>
        <v>0</v>
      </c>
    </row>
    <row r="135" spans="2:16">
      <c r="B135" s="7" t="str">
        <f t="shared" si="46"/>
        <v/>
      </c>
      <c r="C135" s="50">
        <f>IF(D93="","-",+C134+1)</f>
        <v>2044</v>
      </c>
      <c r="D135" s="12">
        <f>IF(F134+SUM(E$99:E134)=D$92,F134,D$92-SUM(E$99:E134))</f>
        <v>1859218</v>
      </c>
      <c r="E135" s="355">
        <f>IF(+J96&lt;F134,J96,D135)</f>
        <v>395017</v>
      </c>
      <c r="F135" s="55">
        <f t="shared" si="79"/>
        <v>1464201</v>
      </c>
      <c r="G135" s="55">
        <f t="shared" si="80"/>
        <v>1661709.5</v>
      </c>
      <c r="H135" s="355">
        <f t="shared" si="77"/>
        <v>593792.49611838418</v>
      </c>
      <c r="I135" s="381">
        <f t="shared" si="78"/>
        <v>593792.49611838418</v>
      </c>
      <c r="J135" s="54">
        <f t="shared" si="84"/>
        <v>0</v>
      </c>
      <c r="K135" s="54"/>
      <c r="L135" s="115"/>
      <c r="M135" s="54">
        <f t="shared" si="81"/>
        <v>0</v>
      </c>
      <c r="N135" s="115"/>
      <c r="O135" s="54">
        <f t="shared" si="82"/>
        <v>0</v>
      </c>
      <c r="P135" s="54">
        <f t="shared" si="83"/>
        <v>0</v>
      </c>
    </row>
    <row r="136" spans="2:16">
      <c r="B136" s="7" t="str">
        <f t="shared" si="46"/>
        <v/>
      </c>
      <c r="C136" s="50">
        <f>IF(D93="","-",+C135+1)</f>
        <v>2045</v>
      </c>
      <c r="D136" s="12">
        <f>IF(F135+SUM(E$99:E135)=D$92,F135,D$92-SUM(E$99:E135))</f>
        <v>1464201</v>
      </c>
      <c r="E136" s="355">
        <f>IF(+J96&lt;F135,J96,D136)</f>
        <v>395017</v>
      </c>
      <c r="F136" s="55">
        <f t="shared" si="79"/>
        <v>1069184</v>
      </c>
      <c r="G136" s="55">
        <f t="shared" si="80"/>
        <v>1266692.5</v>
      </c>
      <c r="H136" s="355">
        <f t="shared" si="77"/>
        <v>546540.13332561217</v>
      </c>
      <c r="I136" s="381">
        <f t="shared" si="78"/>
        <v>546540.13332561217</v>
      </c>
      <c r="J136" s="54">
        <f t="shared" si="84"/>
        <v>0</v>
      </c>
      <c r="K136" s="54"/>
      <c r="L136" s="115"/>
      <c r="M136" s="54">
        <f t="shared" si="81"/>
        <v>0</v>
      </c>
      <c r="N136" s="115"/>
      <c r="O136" s="54">
        <f t="shared" si="82"/>
        <v>0</v>
      </c>
      <c r="P136" s="54">
        <f t="shared" si="83"/>
        <v>0</v>
      </c>
    </row>
    <row r="137" spans="2:16">
      <c r="B137" s="7" t="str">
        <f t="shared" si="46"/>
        <v/>
      </c>
      <c r="C137" s="50">
        <f>IF(D93="","-",+C136+1)</f>
        <v>2046</v>
      </c>
      <c r="D137" s="12">
        <f>IF(F136+SUM(E$99:E136)=D$92,F136,D$92-SUM(E$99:E136))</f>
        <v>1069184</v>
      </c>
      <c r="E137" s="355">
        <f>IF(+J96&lt;F136,J96,D137)</f>
        <v>395017</v>
      </c>
      <c r="F137" s="55">
        <f t="shared" si="79"/>
        <v>674167</v>
      </c>
      <c r="G137" s="55">
        <f t="shared" si="80"/>
        <v>871675.5</v>
      </c>
      <c r="H137" s="355">
        <f t="shared" si="77"/>
        <v>499287.77053284016</v>
      </c>
      <c r="I137" s="381">
        <f t="shared" si="78"/>
        <v>499287.77053284016</v>
      </c>
      <c r="J137" s="54">
        <f t="shared" si="84"/>
        <v>0</v>
      </c>
      <c r="K137" s="54"/>
      <c r="L137" s="115"/>
      <c r="M137" s="54">
        <f t="shared" si="81"/>
        <v>0</v>
      </c>
      <c r="N137" s="115"/>
      <c r="O137" s="54">
        <f t="shared" si="82"/>
        <v>0</v>
      </c>
      <c r="P137" s="54">
        <f t="shared" si="83"/>
        <v>0</v>
      </c>
    </row>
    <row r="138" spans="2:16">
      <c r="B138" s="7" t="str">
        <f t="shared" si="46"/>
        <v/>
      </c>
      <c r="C138" s="50">
        <f>IF(D93="","-",+C137+1)</f>
        <v>2047</v>
      </c>
      <c r="D138" s="12">
        <f>IF(F137+SUM(E$99:E137)=D$92,F137,D$92-SUM(E$99:E137))</f>
        <v>674167</v>
      </c>
      <c r="E138" s="355">
        <f>IF(+J96&lt;F137,J96,D138)</f>
        <v>395017</v>
      </c>
      <c r="F138" s="55">
        <f t="shared" si="79"/>
        <v>279150</v>
      </c>
      <c r="G138" s="55">
        <f t="shared" si="80"/>
        <v>476658.5</v>
      </c>
      <c r="H138" s="355">
        <f t="shared" si="77"/>
        <v>452035.40774006816</v>
      </c>
      <c r="I138" s="381">
        <f t="shared" si="78"/>
        <v>452035.40774006816</v>
      </c>
      <c r="J138" s="54">
        <f t="shared" si="84"/>
        <v>0</v>
      </c>
      <c r="K138" s="54"/>
      <c r="L138" s="115"/>
      <c r="M138" s="54">
        <f t="shared" si="81"/>
        <v>0</v>
      </c>
      <c r="N138" s="115"/>
      <c r="O138" s="54">
        <f t="shared" si="82"/>
        <v>0</v>
      </c>
      <c r="P138" s="54">
        <f t="shared" si="83"/>
        <v>0</v>
      </c>
    </row>
    <row r="139" spans="2:16">
      <c r="B139" s="7" t="str">
        <f t="shared" si="46"/>
        <v/>
      </c>
      <c r="C139" s="50">
        <f>IF(D93="","-",+C138+1)</f>
        <v>2048</v>
      </c>
      <c r="D139" s="12">
        <f>IF(F138+SUM(E$99:E138)=D$92,F138,D$92-SUM(E$99:E138))</f>
        <v>279150</v>
      </c>
      <c r="E139" s="355">
        <f>IF(+J96&lt;F138,J96,D139)</f>
        <v>279150</v>
      </c>
      <c r="F139" s="55">
        <f t="shared" si="79"/>
        <v>0</v>
      </c>
      <c r="G139" s="55">
        <f t="shared" si="80"/>
        <v>139575</v>
      </c>
      <c r="H139" s="355">
        <f t="shared" si="77"/>
        <v>295846.11317184108</v>
      </c>
      <c r="I139" s="381">
        <f t="shared" si="78"/>
        <v>295846.11317184108</v>
      </c>
      <c r="J139" s="54">
        <f t="shared" si="84"/>
        <v>0</v>
      </c>
      <c r="K139" s="54"/>
      <c r="L139" s="115"/>
      <c r="M139" s="54">
        <f t="shared" si="81"/>
        <v>0</v>
      </c>
      <c r="N139" s="115"/>
      <c r="O139" s="54">
        <f t="shared" si="82"/>
        <v>0</v>
      </c>
      <c r="P139" s="54">
        <f t="shared" si="83"/>
        <v>0</v>
      </c>
    </row>
    <row r="140" spans="2:16">
      <c r="B140" s="7" t="str">
        <f t="shared" si="46"/>
        <v/>
      </c>
      <c r="C140" s="50">
        <f>IF(D93="","-",+C139+1)</f>
        <v>2049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9"/>
        <v>0</v>
      </c>
      <c r="G140" s="55">
        <f t="shared" si="80"/>
        <v>0</v>
      </c>
      <c r="H140" s="355">
        <f t="shared" si="77"/>
        <v>0</v>
      </c>
      <c r="I140" s="381">
        <f t="shared" si="78"/>
        <v>0</v>
      </c>
      <c r="J140" s="54">
        <f t="shared" si="84"/>
        <v>0</v>
      </c>
      <c r="K140" s="54"/>
      <c r="L140" s="115"/>
      <c r="M140" s="54">
        <f t="shared" si="81"/>
        <v>0</v>
      </c>
      <c r="N140" s="115"/>
      <c r="O140" s="54">
        <f t="shared" si="82"/>
        <v>0</v>
      </c>
      <c r="P140" s="54">
        <f t="shared" si="83"/>
        <v>0</v>
      </c>
    </row>
    <row r="141" spans="2:16">
      <c r="B141" s="7" t="str">
        <f t="shared" si="46"/>
        <v/>
      </c>
      <c r="C141" s="50">
        <f>IF(D93="","-",+C140+1)</f>
        <v>2050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9"/>
        <v>0</v>
      </c>
      <c r="G141" s="55">
        <f t="shared" si="80"/>
        <v>0</v>
      </c>
      <c r="H141" s="355">
        <f t="shared" si="77"/>
        <v>0</v>
      </c>
      <c r="I141" s="381">
        <f t="shared" si="78"/>
        <v>0</v>
      </c>
      <c r="J141" s="54">
        <f t="shared" si="84"/>
        <v>0</v>
      </c>
      <c r="K141" s="54"/>
      <c r="L141" s="115"/>
      <c r="M141" s="54">
        <f t="shared" si="81"/>
        <v>0</v>
      </c>
      <c r="N141" s="115"/>
      <c r="O141" s="54">
        <f t="shared" si="82"/>
        <v>0</v>
      </c>
      <c r="P141" s="54">
        <f t="shared" si="83"/>
        <v>0</v>
      </c>
    </row>
    <row r="142" spans="2:16">
      <c r="B142" s="7" t="str">
        <f t="shared" si="46"/>
        <v/>
      </c>
      <c r="C142" s="50">
        <f>IF(D93="","-",+C141+1)</f>
        <v>2051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9"/>
        <v>0</v>
      </c>
      <c r="G142" s="55">
        <f t="shared" si="80"/>
        <v>0</v>
      </c>
      <c r="H142" s="355">
        <f t="shared" si="77"/>
        <v>0</v>
      </c>
      <c r="I142" s="381">
        <f t="shared" si="78"/>
        <v>0</v>
      </c>
      <c r="J142" s="54">
        <f t="shared" si="84"/>
        <v>0</v>
      </c>
      <c r="K142" s="54"/>
      <c r="L142" s="115"/>
      <c r="M142" s="54">
        <f t="shared" si="81"/>
        <v>0</v>
      </c>
      <c r="N142" s="115"/>
      <c r="O142" s="54">
        <f t="shared" si="82"/>
        <v>0</v>
      </c>
      <c r="P142" s="54">
        <f t="shared" si="83"/>
        <v>0</v>
      </c>
    </row>
    <row r="143" spans="2:16">
      <c r="B143" s="7" t="str">
        <f t="shared" si="46"/>
        <v/>
      </c>
      <c r="C143" s="50">
        <f>IF(D93="","-",+C142+1)</f>
        <v>2052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9"/>
        <v>0</v>
      </c>
      <c r="G143" s="55">
        <f t="shared" si="80"/>
        <v>0</v>
      </c>
      <c r="H143" s="355">
        <f t="shared" si="77"/>
        <v>0</v>
      </c>
      <c r="I143" s="381">
        <f t="shared" si="78"/>
        <v>0</v>
      </c>
      <c r="J143" s="54">
        <f t="shared" si="84"/>
        <v>0</v>
      </c>
      <c r="K143" s="54"/>
      <c r="L143" s="115"/>
      <c r="M143" s="54">
        <f t="shared" si="81"/>
        <v>0</v>
      </c>
      <c r="N143" s="115"/>
      <c r="O143" s="54">
        <f t="shared" si="82"/>
        <v>0</v>
      </c>
      <c r="P143" s="54">
        <f t="shared" si="83"/>
        <v>0</v>
      </c>
    </row>
    <row r="144" spans="2:16">
      <c r="B144" s="7" t="str">
        <f t="shared" si="46"/>
        <v/>
      </c>
      <c r="C144" s="50">
        <f>IF(D93="","-",+C143+1)</f>
        <v>2053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9"/>
        <v>0</v>
      </c>
      <c r="G144" s="55">
        <f t="shared" si="80"/>
        <v>0</v>
      </c>
      <c r="H144" s="355">
        <f t="shared" si="77"/>
        <v>0</v>
      </c>
      <c r="I144" s="381">
        <f t="shared" si="78"/>
        <v>0</v>
      </c>
      <c r="J144" s="54">
        <f t="shared" si="84"/>
        <v>0</v>
      </c>
      <c r="K144" s="54"/>
      <c r="L144" s="115"/>
      <c r="M144" s="54">
        <f t="shared" si="81"/>
        <v>0</v>
      </c>
      <c r="N144" s="115"/>
      <c r="O144" s="54">
        <f t="shared" si="82"/>
        <v>0</v>
      </c>
      <c r="P144" s="54">
        <f t="shared" si="83"/>
        <v>0</v>
      </c>
    </row>
    <row r="145" spans="2:16">
      <c r="B145" s="7" t="str">
        <f t="shared" si="46"/>
        <v/>
      </c>
      <c r="C145" s="50">
        <f>IF(D93="","-",+C144+1)</f>
        <v>2054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9"/>
        <v>0</v>
      </c>
      <c r="G145" s="55">
        <f t="shared" si="80"/>
        <v>0</v>
      </c>
      <c r="H145" s="355">
        <f t="shared" si="77"/>
        <v>0</v>
      </c>
      <c r="I145" s="381">
        <f t="shared" si="78"/>
        <v>0</v>
      </c>
      <c r="J145" s="54">
        <f t="shared" si="84"/>
        <v>0</v>
      </c>
      <c r="K145" s="54"/>
      <c r="L145" s="115"/>
      <c r="M145" s="54">
        <f t="shared" si="81"/>
        <v>0</v>
      </c>
      <c r="N145" s="115"/>
      <c r="O145" s="54">
        <f t="shared" si="82"/>
        <v>0</v>
      </c>
      <c r="P145" s="54">
        <f t="shared" si="83"/>
        <v>0</v>
      </c>
    </row>
    <row r="146" spans="2:16">
      <c r="B146" s="7" t="str">
        <f t="shared" si="46"/>
        <v/>
      </c>
      <c r="C146" s="50">
        <f>IF(D93="","-",+C145+1)</f>
        <v>2055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9"/>
        <v>0</v>
      </c>
      <c r="G146" s="55">
        <f t="shared" si="80"/>
        <v>0</v>
      </c>
      <c r="H146" s="355">
        <f t="shared" si="77"/>
        <v>0</v>
      </c>
      <c r="I146" s="381">
        <f t="shared" si="78"/>
        <v>0</v>
      </c>
      <c r="J146" s="54">
        <f t="shared" si="84"/>
        <v>0</v>
      </c>
      <c r="K146" s="54"/>
      <c r="L146" s="115"/>
      <c r="M146" s="54">
        <f t="shared" si="81"/>
        <v>0</v>
      </c>
      <c r="N146" s="115"/>
      <c r="O146" s="54">
        <f t="shared" si="82"/>
        <v>0</v>
      </c>
      <c r="P146" s="54">
        <f t="shared" si="83"/>
        <v>0</v>
      </c>
    </row>
    <row r="147" spans="2:16">
      <c r="B147" s="7" t="str">
        <f t="shared" si="46"/>
        <v/>
      </c>
      <c r="C147" s="50">
        <f>IF(D93="","-",+C146+1)</f>
        <v>2056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9"/>
        <v>0</v>
      </c>
      <c r="G147" s="55">
        <f t="shared" si="80"/>
        <v>0</v>
      </c>
      <c r="H147" s="355">
        <f t="shared" si="77"/>
        <v>0</v>
      </c>
      <c r="I147" s="381">
        <f t="shared" si="78"/>
        <v>0</v>
      </c>
      <c r="J147" s="54">
        <f t="shared" si="84"/>
        <v>0</v>
      </c>
      <c r="K147" s="54"/>
      <c r="L147" s="115"/>
      <c r="M147" s="54">
        <f t="shared" si="81"/>
        <v>0</v>
      </c>
      <c r="N147" s="115"/>
      <c r="O147" s="54">
        <f t="shared" si="82"/>
        <v>0</v>
      </c>
      <c r="P147" s="54">
        <f t="shared" si="83"/>
        <v>0</v>
      </c>
    </row>
    <row r="148" spans="2:16">
      <c r="B148" s="7" t="str">
        <f t="shared" si="46"/>
        <v/>
      </c>
      <c r="C148" s="50">
        <f>IF(D93="","-",+C147+1)</f>
        <v>2057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9"/>
        <v>0</v>
      </c>
      <c r="G148" s="55">
        <f t="shared" si="80"/>
        <v>0</v>
      </c>
      <c r="H148" s="355">
        <f t="shared" si="77"/>
        <v>0</v>
      </c>
      <c r="I148" s="381">
        <f t="shared" si="78"/>
        <v>0</v>
      </c>
      <c r="J148" s="54">
        <f t="shared" si="84"/>
        <v>0</v>
      </c>
      <c r="K148" s="54"/>
      <c r="L148" s="115"/>
      <c r="M148" s="54">
        <f t="shared" si="81"/>
        <v>0</v>
      </c>
      <c r="N148" s="115"/>
      <c r="O148" s="54">
        <f t="shared" si="82"/>
        <v>0</v>
      </c>
      <c r="P148" s="54">
        <f t="shared" si="83"/>
        <v>0</v>
      </c>
    </row>
    <row r="149" spans="2:16">
      <c r="B149" s="7" t="str">
        <f t="shared" si="46"/>
        <v/>
      </c>
      <c r="C149" s="50">
        <f>IF(D93="","-",+C148+1)</f>
        <v>2058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9"/>
        <v>0</v>
      </c>
      <c r="G149" s="55">
        <f t="shared" si="80"/>
        <v>0</v>
      </c>
      <c r="H149" s="355">
        <f t="shared" si="77"/>
        <v>0</v>
      </c>
      <c r="I149" s="381">
        <f t="shared" si="78"/>
        <v>0</v>
      </c>
      <c r="J149" s="54">
        <f t="shared" si="84"/>
        <v>0</v>
      </c>
      <c r="K149" s="54"/>
      <c r="L149" s="115"/>
      <c r="M149" s="54">
        <f t="shared" si="81"/>
        <v>0</v>
      </c>
      <c r="N149" s="115"/>
      <c r="O149" s="54">
        <f t="shared" si="82"/>
        <v>0</v>
      </c>
      <c r="P149" s="54">
        <f t="shared" si="83"/>
        <v>0</v>
      </c>
    </row>
    <row r="150" spans="2:16">
      <c r="B150" s="7" t="str">
        <f t="shared" si="46"/>
        <v/>
      </c>
      <c r="C150" s="50">
        <f>IF(D93="","-",+C149+1)</f>
        <v>2059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9"/>
        <v>0</v>
      </c>
      <c r="G150" s="55">
        <f t="shared" si="80"/>
        <v>0</v>
      </c>
      <c r="H150" s="355">
        <f t="shared" si="77"/>
        <v>0</v>
      </c>
      <c r="I150" s="381">
        <f t="shared" si="78"/>
        <v>0</v>
      </c>
      <c r="J150" s="54">
        <f t="shared" si="84"/>
        <v>0</v>
      </c>
      <c r="K150" s="54"/>
      <c r="L150" s="115"/>
      <c r="M150" s="54">
        <f t="shared" si="81"/>
        <v>0</v>
      </c>
      <c r="N150" s="115"/>
      <c r="O150" s="54">
        <f t="shared" si="82"/>
        <v>0</v>
      </c>
      <c r="P150" s="54">
        <f t="shared" si="83"/>
        <v>0</v>
      </c>
    </row>
    <row r="151" spans="2:16">
      <c r="B151" s="7" t="str">
        <f t="shared" si="46"/>
        <v/>
      </c>
      <c r="C151" s="50">
        <f>IF(D93="","-",+C150+1)</f>
        <v>2060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9"/>
        <v>0</v>
      </c>
      <c r="G151" s="55">
        <f t="shared" si="80"/>
        <v>0</v>
      </c>
      <c r="H151" s="355">
        <f t="shared" si="77"/>
        <v>0</v>
      </c>
      <c r="I151" s="381">
        <f t="shared" si="78"/>
        <v>0</v>
      </c>
      <c r="J151" s="54">
        <f t="shared" si="84"/>
        <v>0</v>
      </c>
      <c r="K151" s="54"/>
      <c r="L151" s="115"/>
      <c r="M151" s="54">
        <f t="shared" si="81"/>
        <v>0</v>
      </c>
      <c r="N151" s="115"/>
      <c r="O151" s="54">
        <f t="shared" si="82"/>
        <v>0</v>
      </c>
      <c r="P151" s="54">
        <f t="shared" si="83"/>
        <v>0</v>
      </c>
    </row>
    <row r="152" spans="2:16">
      <c r="B152" s="7" t="str">
        <f t="shared" si="46"/>
        <v/>
      </c>
      <c r="C152" s="50">
        <f>IF(D93="","-",+C151+1)</f>
        <v>2061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9"/>
        <v>0</v>
      </c>
      <c r="G152" s="55">
        <f t="shared" si="80"/>
        <v>0</v>
      </c>
      <c r="H152" s="355">
        <f t="shared" si="77"/>
        <v>0</v>
      </c>
      <c r="I152" s="381">
        <f t="shared" si="78"/>
        <v>0</v>
      </c>
      <c r="J152" s="54">
        <f t="shared" si="84"/>
        <v>0</v>
      </c>
      <c r="K152" s="54"/>
      <c r="L152" s="115"/>
      <c r="M152" s="54">
        <f t="shared" si="81"/>
        <v>0</v>
      </c>
      <c r="N152" s="115"/>
      <c r="O152" s="54">
        <f t="shared" si="82"/>
        <v>0</v>
      </c>
      <c r="P152" s="54">
        <f t="shared" si="83"/>
        <v>0</v>
      </c>
    </row>
    <row r="153" spans="2:16">
      <c r="B153" s="7" t="str">
        <f t="shared" si="46"/>
        <v/>
      </c>
      <c r="C153" s="50">
        <f>IF(D93="","-",+C152+1)</f>
        <v>2062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9"/>
        <v>0</v>
      </c>
      <c r="G153" s="55">
        <f t="shared" si="80"/>
        <v>0</v>
      </c>
      <c r="H153" s="355">
        <f t="shared" si="77"/>
        <v>0</v>
      </c>
      <c r="I153" s="381">
        <f t="shared" si="78"/>
        <v>0</v>
      </c>
      <c r="J153" s="54">
        <f t="shared" si="84"/>
        <v>0</v>
      </c>
      <c r="K153" s="54"/>
      <c r="L153" s="115"/>
      <c r="M153" s="54">
        <f t="shared" si="81"/>
        <v>0</v>
      </c>
      <c r="N153" s="115"/>
      <c r="O153" s="54">
        <f t="shared" si="82"/>
        <v>0</v>
      </c>
      <c r="P153" s="54">
        <f t="shared" si="83"/>
        <v>0</v>
      </c>
    </row>
    <row r="154" spans="2:16" ht="13.5" thickBot="1">
      <c r="B154" s="7" t="str">
        <f t="shared" si="46"/>
        <v/>
      </c>
      <c r="C154" s="58">
        <f>IF(D93="","-",+C153+1)</f>
        <v>2063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9"/>
        <v>0</v>
      </c>
      <c r="G154" s="59">
        <f t="shared" si="80"/>
        <v>0</v>
      </c>
      <c r="H154" s="59">
        <f t="shared" si="77"/>
        <v>0</v>
      </c>
      <c r="I154" s="383">
        <f t="shared" ref="I154" si="85">ROUND(J$95*G154,0)+E154</f>
        <v>0</v>
      </c>
      <c r="J154" s="62">
        <f t="shared" si="84"/>
        <v>0</v>
      </c>
      <c r="K154" s="54"/>
      <c r="L154" s="116"/>
      <c r="M154" s="62">
        <f t="shared" si="81"/>
        <v>0</v>
      </c>
      <c r="N154" s="116"/>
      <c r="O154" s="62">
        <f t="shared" si="82"/>
        <v>0</v>
      </c>
      <c r="P154" s="62">
        <f t="shared" si="83"/>
        <v>0</v>
      </c>
    </row>
    <row r="155" spans="2:16">
      <c r="C155" s="12" t="s">
        <v>77</v>
      </c>
      <c r="D155" s="266"/>
      <c r="E155" s="266">
        <f>SUM(E99:E154)</f>
        <v>14615636</v>
      </c>
      <c r="F155" s="266"/>
      <c r="G155" s="266"/>
      <c r="H155" s="266">
        <f>SUM(H99:H154)</f>
        <v>54321315.340825841</v>
      </c>
      <c r="I155" s="266">
        <f>SUM(I99:I154)</f>
        <v>54321315.340825841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 t="s">
        <v>100</v>
      </c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30" t="s">
        <v>107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78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 t="s">
        <v>79</v>
      </c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  <row r="1048576" spans="11:13" ht="12.75" customHeight="1">
      <c r="K1048576" s="350">
        <f>G1048576</f>
        <v>0</v>
      </c>
      <c r="L1048576" s="54">
        <f t="shared" ref="L1048576" si="86">IF(K1048576&lt;&gt;0,+G1048576-K1048576,0)</f>
        <v>0</v>
      </c>
      <c r="M1048576" s="350">
        <f>H1048576</f>
        <v>0</v>
      </c>
    </row>
  </sheetData>
  <phoneticPr fontId="0" type="noConversion"/>
  <conditionalFormatting sqref="C17:C72">
    <cfRule type="cellIs" dxfId="67" priority="1" stopIfTrue="1" operator="equal">
      <formula>$I$10</formula>
    </cfRule>
  </conditionalFormatting>
  <conditionalFormatting sqref="C99:C154">
    <cfRule type="cellIs" dxfId="66" priority="2" stopIfTrue="1" operator="equal">
      <formula>$J$92</formula>
    </cfRule>
  </conditionalFormatting>
  <pageMargins left="0.5" right="0.25" top="1" bottom="0.25" header="0.25" footer="0.5"/>
  <pageSetup scale="47" fitToHeight="0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P162"/>
  <sheetViews>
    <sheetView topLeftCell="A71" zoomScaleNormal="100" zoomScaleSheetLayoutView="75" workbookViewId="0">
      <selection activeCell="G89" sqref="G89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5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35760.36034724304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35760.36034724304</v>
      </c>
      <c r="O6" s="1"/>
      <c r="P6" s="1"/>
    </row>
    <row r="7" spans="1:16" ht="13.5" thickBot="1">
      <c r="C7" s="26" t="s">
        <v>46</v>
      </c>
      <c r="D7" s="331" t="s">
        <v>206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83</v>
      </c>
      <c r="E9" s="74" t="s">
        <v>373</v>
      </c>
      <c r="F9" s="514">
        <v>30001</v>
      </c>
      <c r="G9" s="32"/>
      <c r="H9" s="32"/>
      <c r="I9" s="33"/>
      <c r="J9" s="34"/>
      <c r="P9" s="1"/>
    </row>
    <row r="10" spans="1:16">
      <c r="C10" s="128" t="s">
        <v>226</v>
      </c>
      <c r="D10" s="335">
        <v>387742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2006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5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10203.736842105263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2006</v>
      </c>
      <c r="D17" s="348">
        <v>387742</v>
      </c>
      <c r="E17" s="349">
        <v>3877</v>
      </c>
      <c r="F17" s="348">
        <v>383865</v>
      </c>
      <c r="G17" s="349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/>
      <c r="C18" s="50">
        <f>IF(D11="","-",+C17+1)</f>
        <v>2007</v>
      </c>
      <c r="D18" s="351">
        <v>383865</v>
      </c>
      <c r="E18" s="352">
        <v>7755</v>
      </c>
      <c r="F18" s="351">
        <v>376110</v>
      </c>
      <c r="G18" s="351">
        <v>59847</v>
      </c>
      <c r="H18" s="351">
        <v>59847</v>
      </c>
      <c r="I18" s="52">
        <f t="shared" si="0"/>
        <v>0</v>
      </c>
      <c r="J18" s="52"/>
      <c r="K18" s="350">
        <v>59847</v>
      </c>
      <c r="L18" s="54">
        <f t="shared" si="1"/>
        <v>0</v>
      </c>
      <c r="M18" s="350">
        <v>59847</v>
      </c>
      <c r="N18" s="54">
        <f t="shared" si="2"/>
        <v>0</v>
      </c>
      <c r="O18" s="54">
        <f t="shared" si="3"/>
        <v>0</v>
      </c>
      <c r="P18" s="1"/>
    </row>
    <row r="19" spans="2:16">
      <c r="B19" s="7"/>
      <c r="C19" s="50">
        <f>IF(D11="","-",+C18+1)</f>
        <v>2008</v>
      </c>
      <c r="D19" s="351">
        <v>376557</v>
      </c>
      <c r="E19" s="392">
        <v>7457</v>
      </c>
      <c r="F19" s="351">
        <v>369100</v>
      </c>
      <c r="G19" s="351">
        <v>62208</v>
      </c>
      <c r="H19" s="351">
        <v>62208</v>
      </c>
      <c r="I19" s="52">
        <f t="shared" si="0"/>
        <v>0</v>
      </c>
      <c r="J19" s="52"/>
      <c r="K19" s="350">
        <v>62208</v>
      </c>
      <c r="L19" s="54">
        <f t="shared" si="1"/>
        <v>0</v>
      </c>
      <c r="M19" s="350">
        <v>62208</v>
      </c>
      <c r="N19" s="54">
        <f t="shared" si="2"/>
        <v>0</v>
      </c>
      <c r="O19" s="54">
        <f t="shared" si="3"/>
        <v>0</v>
      </c>
      <c r="P19" s="1"/>
    </row>
    <row r="20" spans="2:16">
      <c r="B20" s="7"/>
      <c r="C20" s="50">
        <f>IF(D11="","-",+C19+1)</f>
        <v>2009</v>
      </c>
      <c r="D20" s="351">
        <v>368843</v>
      </c>
      <c r="E20" s="392">
        <v>7316</v>
      </c>
      <c r="F20" s="351">
        <v>361527</v>
      </c>
      <c r="G20" s="351">
        <v>62704</v>
      </c>
      <c r="H20" s="351">
        <v>62704</v>
      </c>
      <c r="I20" s="52">
        <f t="shared" si="0"/>
        <v>0</v>
      </c>
      <c r="J20" s="52"/>
      <c r="K20" s="350">
        <v>62704</v>
      </c>
      <c r="L20" s="54">
        <f t="shared" si="1"/>
        <v>0</v>
      </c>
      <c r="M20" s="350">
        <v>62704</v>
      </c>
      <c r="N20" s="54">
        <f t="shared" si="2"/>
        <v>0</v>
      </c>
      <c r="O20" s="54">
        <f t="shared" si="3"/>
        <v>0</v>
      </c>
      <c r="P20" s="1"/>
    </row>
    <row r="21" spans="2:16">
      <c r="B21" s="7"/>
      <c r="C21" s="50">
        <f>IF(D12="","-",+C20+1)</f>
        <v>2010</v>
      </c>
      <c r="D21" s="351">
        <v>361337</v>
      </c>
      <c r="E21" s="352">
        <v>6923.9642857142853</v>
      </c>
      <c r="F21" s="351">
        <v>354413.03571428574</v>
      </c>
      <c r="G21" s="352">
        <v>58064.529944767884</v>
      </c>
      <c r="H21" s="353">
        <v>58064.529944767884</v>
      </c>
      <c r="I21" s="52">
        <f t="shared" si="0"/>
        <v>0</v>
      </c>
      <c r="J21" s="52"/>
      <c r="K21" s="379">
        <f t="shared" ref="K21:K26" si="4">G21</f>
        <v>58064.529944767884</v>
      </c>
      <c r="L21" s="54">
        <f t="shared" si="1"/>
        <v>0</v>
      </c>
      <c r="M21" s="379">
        <f t="shared" ref="M21:M26" si="5">H21</f>
        <v>58064.529944767884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ref="B22:B72" si="6">IF(D22=F21,"","IU")</f>
        <v/>
      </c>
      <c r="C22" s="50">
        <f>IF(D11="","-",+C21+1)</f>
        <v>2011</v>
      </c>
      <c r="D22" s="351">
        <v>354413.03571428574</v>
      </c>
      <c r="E22" s="352">
        <v>7602.7843137254904</v>
      </c>
      <c r="F22" s="351">
        <v>346810.25140056026</v>
      </c>
      <c r="G22" s="352">
        <v>61893.620096156621</v>
      </c>
      <c r="H22" s="353">
        <v>61893.620096156621</v>
      </c>
      <c r="I22" s="52">
        <f t="shared" si="0"/>
        <v>0</v>
      </c>
      <c r="J22" s="52"/>
      <c r="K22" s="350">
        <f t="shared" si="4"/>
        <v>61893.620096156621</v>
      </c>
      <c r="L22" s="54">
        <f t="shared" si="1"/>
        <v>0</v>
      </c>
      <c r="M22" s="350">
        <f t="shared" si="5"/>
        <v>61893.620096156621</v>
      </c>
      <c r="N22" s="54">
        <f t="shared" si="2"/>
        <v>0</v>
      </c>
      <c r="O22" s="54">
        <f t="shared" si="3"/>
        <v>0</v>
      </c>
      <c r="P22" s="1"/>
    </row>
    <row r="23" spans="2:16">
      <c r="B23" s="7" t="str">
        <f t="shared" si="6"/>
        <v/>
      </c>
      <c r="C23" s="50">
        <f>IF(D11="","-",+C22+1)</f>
        <v>2012</v>
      </c>
      <c r="D23" s="351">
        <v>346810.25140056026</v>
      </c>
      <c r="E23" s="352">
        <v>7456.5769230769229</v>
      </c>
      <c r="F23" s="351">
        <v>339353.67447748332</v>
      </c>
      <c r="G23" s="352">
        <v>54696.893588724874</v>
      </c>
      <c r="H23" s="353">
        <v>54696.893588724874</v>
      </c>
      <c r="I23" s="52">
        <f t="shared" si="0"/>
        <v>0</v>
      </c>
      <c r="J23" s="52"/>
      <c r="K23" s="350">
        <f t="shared" si="4"/>
        <v>54696.893588724874</v>
      </c>
      <c r="L23" s="54">
        <f t="shared" si="1"/>
        <v>0</v>
      </c>
      <c r="M23" s="350">
        <f t="shared" si="5"/>
        <v>54696.893588724874</v>
      </c>
      <c r="N23" s="54">
        <f t="shared" si="2"/>
        <v>0</v>
      </c>
      <c r="O23" s="54">
        <f t="shared" si="3"/>
        <v>0</v>
      </c>
      <c r="P23" s="1"/>
    </row>
    <row r="24" spans="2:16">
      <c r="B24" s="7" t="str">
        <f t="shared" si="6"/>
        <v/>
      </c>
      <c r="C24" s="50">
        <f>IF(D11="","-",+C23+1)</f>
        <v>2013</v>
      </c>
      <c r="D24" s="351">
        <v>339353.67447748332</v>
      </c>
      <c r="E24" s="352">
        <v>7456.5769230769229</v>
      </c>
      <c r="F24" s="351">
        <v>331897.09755440638</v>
      </c>
      <c r="G24" s="352">
        <v>54853.72619811543</v>
      </c>
      <c r="H24" s="353">
        <v>54853.72619811543</v>
      </c>
      <c r="I24" s="52">
        <v>0</v>
      </c>
      <c r="J24" s="52"/>
      <c r="K24" s="350">
        <f t="shared" si="4"/>
        <v>54853.72619811543</v>
      </c>
      <c r="L24" s="54">
        <f t="shared" ref="L24:L29" si="7">IF(K24&lt;&gt;0,+G24-K24,0)</f>
        <v>0</v>
      </c>
      <c r="M24" s="350">
        <f t="shared" si="5"/>
        <v>54853.72619811543</v>
      </c>
      <c r="N24" s="54">
        <f t="shared" ref="N24:N29" si="8">IF(M24&lt;&gt;0,+H24-M24,0)</f>
        <v>0</v>
      </c>
      <c r="O24" s="54">
        <f t="shared" ref="O24:O29" si="9">+N24-L24</f>
        <v>0</v>
      </c>
      <c r="P24" s="1"/>
    </row>
    <row r="25" spans="2:16">
      <c r="B25" s="7" t="str">
        <f t="shared" si="6"/>
        <v/>
      </c>
      <c r="C25" s="50">
        <f>IF(D11="","-",+C24+1)</f>
        <v>2014</v>
      </c>
      <c r="D25" s="351">
        <v>331897.09755440638</v>
      </c>
      <c r="E25" s="352">
        <v>7456.5769230769229</v>
      </c>
      <c r="F25" s="351">
        <v>324440.52063132945</v>
      </c>
      <c r="G25" s="352">
        <v>52118.659182147123</v>
      </c>
      <c r="H25" s="353">
        <v>52118.659182147123</v>
      </c>
      <c r="I25" s="52">
        <v>0</v>
      </c>
      <c r="J25" s="52"/>
      <c r="K25" s="350">
        <f t="shared" si="4"/>
        <v>52118.659182147123</v>
      </c>
      <c r="L25" s="54">
        <f t="shared" si="7"/>
        <v>0</v>
      </c>
      <c r="M25" s="350">
        <f t="shared" si="5"/>
        <v>52118.659182147123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2015</v>
      </c>
      <c r="D26" s="351">
        <v>324440.52063132945</v>
      </c>
      <c r="E26" s="352">
        <v>7456.5769230769229</v>
      </c>
      <c r="F26" s="351">
        <v>316983.94370825251</v>
      </c>
      <c r="G26" s="352">
        <v>51159.678410482353</v>
      </c>
      <c r="H26" s="353">
        <v>51159.678410482353</v>
      </c>
      <c r="I26" s="52">
        <v>0</v>
      </c>
      <c r="J26" s="52"/>
      <c r="K26" s="350">
        <f t="shared" si="4"/>
        <v>51159.678410482353</v>
      </c>
      <c r="L26" s="54">
        <f t="shared" si="7"/>
        <v>0</v>
      </c>
      <c r="M26" s="350">
        <f t="shared" si="5"/>
        <v>51159.678410482353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2016</v>
      </c>
      <c r="D27" s="351">
        <v>316983.94370825251</v>
      </c>
      <c r="E27" s="352">
        <v>7456.5769230769229</v>
      </c>
      <c r="F27" s="351">
        <v>309527.36678517557</v>
      </c>
      <c r="G27" s="352">
        <v>48054.073071867475</v>
      </c>
      <c r="H27" s="353">
        <v>48054.073071867475</v>
      </c>
      <c r="I27" s="52">
        <f t="shared" si="0"/>
        <v>0</v>
      </c>
      <c r="J27" s="52"/>
      <c r="K27" s="350">
        <f t="shared" ref="K27:K32" si="10">G27</f>
        <v>48054.073071867475</v>
      </c>
      <c r="L27" s="54">
        <f t="shared" si="7"/>
        <v>0</v>
      </c>
      <c r="M27" s="350">
        <f t="shared" ref="M27:M32" si="11">H27</f>
        <v>48054.073071867475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6"/>
        <v/>
      </c>
      <c r="C28" s="50">
        <f>IF(D11="","-",+C27+1)</f>
        <v>2017</v>
      </c>
      <c r="D28" s="351">
        <v>309527.36678517557</v>
      </c>
      <c r="E28" s="352">
        <v>8429.173913043478</v>
      </c>
      <c r="F28" s="351">
        <v>301098.19287213212</v>
      </c>
      <c r="G28" s="352">
        <v>46747.12706959022</v>
      </c>
      <c r="H28" s="353">
        <v>46747.12706959022</v>
      </c>
      <c r="I28" s="52">
        <f t="shared" si="0"/>
        <v>0</v>
      </c>
      <c r="J28" s="52"/>
      <c r="K28" s="350">
        <f t="shared" si="10"/>
        <v>46747.12706959022</v>
      </c>
      <c r="L28" s="54">
        <f t="shared" si="7"/>
        <v>0</v>
      </c>
      <c r="M28" s="350">
        <f t="shared" si="11"/>
        <v>46747.12706959022</v>
      </c>
      <c r="N28" s="54">
        <f t="shared" si="8"/>
        <v>0</v>
      </c>
      <c r="O28" s="54">
        <f t="shared" si="9"/>
        <v>0</v>
      </c>
      <c r="P28" s="1"/>
    </row>
    <row r="29" spans="2:16">
      <c r="B29" s="7" t="str">
        <f t="shared" si="6"/>
        <v/>
      </c>
      <c r="C29" s="50">
        <f>IF(D11="","-",+C28+1)</f>
        <v>2018</v>
      </c>
      <c r="D29" s="351">
        <v>301098.19287213212</v>
      </c>
      <c r="E29" s="352">
        <v>8616.4888888888891</v>
      </c>
      <c r="F29" s="351">
        <v>292481.70398324321</v>
      </c>
      <c r="G29" s="352">
        <v>44159.738725302646</v>
      </c>
      <c r="H29" s="353">
        <v>44159.738725302646</v>
      </c>
      <c r="I29" s="52">
        <f t="shared" si="0"/>
        <v>0</v>
      </c>
      <c r="J29" s="52"/>
      <c r="K29" s="350">
        <f t="shared" si="10"/>
        <v>44159.738725302646</v>
      </c>
      <c r="L29" s="54">
        <f t="shared" si="7"/>
        <v>0</v>
      </c>
      <c r="M29" s="350">
        <f t="shared" si="11"/>
        <v>44159.738725302646</v>
      </c>
      <c r="N29" s="54">
        <f t="shared" si="8"/>
        <v>0</v>
      </c>
      <c r="O29" s="54">
        <f t="shared" si="9"/>
        <v>0</v>
      </c>
      <c r="P29" s="1"/>
    </row>
    <row r="30" spans="2:16">
      <c r="B30" s="7" t="str">
        <f t="shared" si="6"/>
        <v/>
      </c>
      <c r="C30" s="50">
        <f>IF(D11="","-",+C29+1)</f>
        <v>2019</v>
      </c>
      <c r="D30" s="351">
        <v>292481.70398324321</v>
      </c>
      <c r="E30" s="352">
        <v>9693.5499999999993</v>
      </c>
      <c r="F30" s="351">
        <v>282788.15398324322</v>
      </c>
      <c r="G30" s="352">
        <v>41809.897213779383</v>
      </c>
      <c r="H30" s="353">
        <v>41809.897213779383</v>
      </c>
      <c r="I30" s="52">
        <f t="shared" si="0"/>
        <v>0</v>
      </c>
      <c r="J30" s="52"/>
      <c r="K30" s="350">
        <f t="shared" si="10"/>
        <v>41809.897213779383</v>
      </c>
      <c r="L30" s="54">
        <f t="shared" ref="L30" si="12">IF(K30&lt;&gt;0,+G30-K30,0)</f>
        <v>0</v>
      </c>
      <c r="M30" s="350">
        <f t="shared" si="11"/>
        <v>41809.897213779383</v>
      </c>
      <c r="N30" s="54">
        <f t="shared" ref="N30" si="13">IF(M30&lt;&gt;0,+H30-M30,0)</f>
        <v>0</v>
      </c>
      <c r="O30" s="54">
        <f t="shared" ref="O30" si="14">+N30-L30</f>
        <v>0</v>
      </c>
      <c r="P30" s="1"/>
    </row>
    <row r="31" spans="2:16">
      <c r="B31" s="7" t="str">
        <f t="shared" si="6"/>
        <v>IU</v>
      </c>
      <c r="C31" s="50">
        <f>IF(D11="","-",+C30+1)</f>
        <v>2020</v>
      </c>
      <c r="D31" s="351">
        <v>283865.21509435429</v>
      </c>
      <c r="E31" s="352">
        <v>9231.9523809523816</v>
      </c>
      <c r="F31" s="351">
        <v>274633.26271340193</v>
      </c>
      <c r="G31" s="352">
        <v>39392.204131039958</v>
      </c>
      <c r="H31" s="353">
        <v>39392.204131039958</v>
      </c>
      <c r="I31" s="52">
        <f t="shared" si="0"/>
        <v>0</v>
      </c>
      <c r="J31" s="52"/>
      <c r="K31" s="350">
        <f t="shared" si="10"/>
        <v>39392.204131039958</v>
      </c>
      <c r="L31" s="54">
        <f t="shared" ref="L31" si="15">IF(K31&lt;&gt;0,+G31-K31,0)</f>
        <v>0</v>
      </c>
      <c r="M31" s="350">
        <f t="shared" si="11"/>
        <v>39392.204131039958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>IU</v>
      </c>
      <c r="C32" s="50">
        <f>IF(D11="","-",+C31+1)</f>
        <v>2021</v>
      </c>
      <c r="D32" s="351">
        <v>273556.20160229085</v>
      </c>
      <c r="E32" s="352">
        <v>9017.2558139534885</v>
      </c>
      <c r="F32" s="351">
        <v>264538.94578833738</v>
      </c>
      <c r="G32" s="352">
        <v>37540.281940264002</v>
      </c>
      <c r="H32" s="353">
        <v>37540.281940264002</v>
      </c>
      <c r="I32" s="52">
        <f t="shared" si="0"/>
        <v>0</v>
      </c>
      <c r="J32" s="52"/>
      <c r="K32" s="350">
        <f t="shared" si="10"/>
        <v>37540.281940264002</v>
      </c>
      <c r="L32" s="54">
        <f t="shared" ref="L32" si="16">IF(K32&lt;&gt;0,+G32-K32,0)</f>
        <v>0</v>
      </c>
      <c r="M32" s="350">
        <f t="shared" si="11"/>
        <v>37540.281940264002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6"/>
        <v/>
      </c>
      <c r="C33" s="50">
        <f>IF(D11="","-",+C32+1)</f>
        <v>2022</v>
      </c>
      <c r="D33" s="351">
        <v>264538.94578833738</v>
      </c>
      <c r="E33" s="352">
        <v>9231.9523809523816</v>
      </c>
      <c r="F33" s="351">
        <v>255306.99340738502</v>
      </c>
      <c r="G33" s="352">
        <v>36756.917403506392</v>
      </c>
      <c r="H33" s="353">
        <v>36756.917403506392</v>
      </c>
      <c r="I33" s="52">
        <f t="shared" si="0"/>
        <v>0</v>
      </c>
      <c r="J33" s="52"/>
      <c r="K33" s="350">
        <f t="shared" ref="K33" si="17">G33</f>
        <v>36756.917403506392</v>
      </c>
      <c r="L33" s="54">
        <f t="shared" ref="L33" si="18">IF(K33&lt;&gt;0,+G33-K33,0)</f>
        <v>0</v>
      </c>
      <c r="M33" s="350">
        <f t="shared" ref="M33" si="19">H33</f>
        <v>36756.917403506392</v>
      </c>
      <c r="N33" s="54">
        <f t="shared" si="2"/>
        <v>0</v>
      </c>
      <c r="O33" s="54">
        <f t="shared" si="3"/>
        <v>0</v>
      </c>
      <c r="P33" s="1"/>
    </row>
    <row r="34" spans="2:16">
      <c r="B34" s="7" t="str">
        <f t="shared" si="6"/>
        <v/>
      </c>
      <c r="C34" s="50">
        <f>IF(D11="","-",+C33+1)</f>
        <v>2023</v>
      </c>
      <c r="D34" s="351">
        <v>255306.99340738502</v>
      </c>
      <c r="E34" s="352">
        <v>9942.1025641025644</v>
      </c>
      <c r="F34" s="351">
        <v>245364.89084328245</v>
      </c>
      <c r="G34" s="352">
        <v>39228.598463176066</v>
      </c>
      <c r="H34" s="353">
        <v>39228.598463176066</v>
      </c>
      <c r="I34" s="52">
        <f t="shared" si="0"/>
        <v>0</v>
      </c>
      <c r="J34" s="52"/>
      <c r="K34" s="350">
        <f t="shared" ref="K34" si="20">G34</f>
        <v>39228.598463176066</v>
      </c>
      <c r="L34" s="54">
        <f t="shared" ref="L34" si="21">IF(K34&lt;&gt;0,+G34-K34,0)</f>
        <v>0</v>
      </c>
      <c r="M34" s="350">
        <f t="shared" ref="M34" si="22">H34</f>
        <v>39228.598463176066</v>
      </c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6"/>
        <v/>
      </c>
      <c r="C35" s="50">
        <f>IF(D11="","-",+C34+1)</f>
        <v>2024</v>
      </c>
      <c r="D35" s="351">
        <v>245364.89084328245</v>
      </c>
      <c r="E35" s="352">
        <v>10203.736842105263</v>
      </c>
      <c r="F35" s="351">
        <v>235161.1540011772</v>
      </c>
      <c r="G35" s="352">
        <v>36951.010609631776</v>
      </c>
      <c r="H35" s="353">
        <v>36951.010609631776</v>
      </c>
      <c r="I35" s="52">
        <f t="shared" si="0"/>
        <v>0</v>
      </c>
      <c r="J35" s="52"/>
      <c r="K35" s="350">
        <f t="shared" ref="K35" si="23">G35</f>
        <v>36951.010609631776</v>
      </c>
      <c r="L35" s="54">
        <f t="shared" ref="L35" si="24">IF(K35&lt;&gt;0,+G35-K35,0)</f>
        <v>0</v>
      </c>
      <c r="M35" s="350">
        <f t="shared" ref="M35" si="25">H35</f>
        <v>36951.010609631776</v>
      </c>
      <c r="N35" s="54">
        <f t="shared" ref="N35" si="26">IF(M35&lt;&gt;0,+H35-M35,0)</f>
        <v>0</v>
      </c>
      <c r="O35" s="54">
        <f t="shared" ref="O35" si="27">+N35-L35</f>
        <v>0</v>
      </c>
      <c r="P35" s="1"/>
    </row>
    <row r="36" spans="2:16">
      <c r="B36" s="7" t="str">
        <f t="shared" si="6"/>
        <v/>
      </c>
      <c r="C36" s="50">
        <f>IF(D11="","-",+C35+1)</f>
        <v>2025</v>
      </c>
      <c r="D36" s="351">
        <v>235161.1540011772</v>
      </c>
      <c r="E36" s="352">
        <v>10203.736842105263</v>
      </c>
      <c r="F36" s="351">
        <v>224957.41715907195</v>
      </c>
      <c r="G36" s="352">
        <v>35760.36034724304</v>
      </c>
      <c r="H36" s="353">
        <v>35760.36034724304</v>
      </c>
      <c r="I36" s="52">
        <f t="shared" si="0"/>
        <v>0</v>
      </c>
      <c r="J36" s="52"/>
      <c r="K36" s="350">
        <f t="shared" ref="K36" si="28">G36</f>
        <v>35760.36034724304</v>
      </c>
      <c r="L36" s="54">
        <f t="shared" ref="L36" si="29">IF(K36&lt;&gt;0,+G36-K36,0)</f>
        <v>0</v>
      </c>
      <c r="M36" s="350">
        <f t="shared" ref="M36" si="30">H36</f>
        <v>35760.36034724304</v>
      </c>
      <c r="N36" s="54">
        <f t="shared" ref="N36" si="31">IF(M36&lt;&gt;0,+H36-M36,0)</f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2026</v>
      </c>
      <c r="D37" s="55">
        <f>IF(F36+SUM(E$17:E36)=D$10,F36,D$10-SUM(E$17:E36))</f>
        <v>224957.41715907195</v>
      </c>
      <c r="E37" s="354">
        <f>IF(+I14&lt;F36,I14,D37)</f>
        <v>10203.736842105263</v>
      </c>
      <c r="F37" s="55">
        <f t="shared" ref="F37:F72" si="32">+D37-E37</f>
        <v>214753.6803169667</v>
      </c>
      <c r="G37" s="355">
        <f t="shared" ref="G37:G72" si="33">(D37+F37)/2*I$12+E37</f>
        <v>35180.754962116334</v>
      </c>
      <c r="H37" s="336">
        <f t="shared" ref="H37:H72" si="34">+(D37+F37)/2*I$13+E37</f>
        <v>35180.754962116334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2027</v>
      </c>
      <c r="D38" s="55">
        <f>IF(F37+SUM(E$17:E37)=D$10,F37,D$10-SUM(E$17:E37))</f>
        <v>214753.6803169667</v>
      </c>
      <c r="E38" s="354">
        <f>IF(+I14&lt;F37,I14,D38)</f>
        <v>10203.736842105263</v>
      </c>
      <c r="F38" s="55">
        <f t="shared" si="32"/>
        <v>204549.94347486144</v>
      </c>
      <c r="G38" s="355">
        <f t="shared" si="33"/>
        <v>34021.544191862915</v>
      </c>
      <c r="H38" s="336">
        <f t="shared" si="34"/>
        <v>34021.544191862915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2028</v>
      </c>
      <c r="D39" s="55">
        <f>IF(F38+SUM(E$17:E38)=D$10,F38,D$10-SUM(E$17:E38))</f>
        <v>204549.94347486144</v>
      </c>
      <c r="E39" s="354">
        <f>IF(+I14&lt;F38,I14,D39)</f>
        <v>10203.736842105263</v>
      </c>
      <c r="F39" s="55">
        <f t="shared" si="32"/>
        <v>194346.20663275619</v>
      </c>
      <c r="G39" s="355">
        <f t="shared" si="33"/>
        <v>32862.333421609495</v>
      </c>
      <c r="H39" s="336">
        <f t="shared" si="34"/>
        <v>32862.333421609495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2029</v>
      </c>
      <c r="D40" s="55">
        <f>IF(F39+SUM(E$17:E39)=D$10,F39,D$10-SUM(E$17:E39))</f>
        <v>194346.20663275619</v>
      </c>
      <c r="E40" s="354">
        <f>IF(+I14&lt;F39,I14,D40)</f>
        <v>10203.736842105263</v>
      </c>
      <c r="F40" s="55">
        <f t="shared" si="32"/>
        <v>184142.46979065094</v>
      </c>
      <c r="G40" s="355">
        <f t="shared" si="33"/>
        <v>31703.122651356076</v>
      </c>
      <c r="H40" s="336">
        <f t="shared" si="34"/>
        <v>31703.122651356076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2030</v>
      </c>
      <c r="D41" s="55">
        <f>IF(F40+SUM(E$17:E40)=D$10,F40,D$10-SUM(E$17:E40))</f>
        <v>184142.46979065094</v>
      </c>
      <c r="E41" s="354">
        <f>IF(+I14&lt;F40,I14,D41)</f>
        <v>10203.736842105263</v>
      </c>
      <c r="F41" s="55">
        <f t="shared" si="32"/>
        <v>173938.73294854569</v>
      </c>
      <c r="G41" s="355">
        <f t="shared" si="33"/>
        <v>30543.911881102656</v>
      </c>
      <c r="H41" s="336">
        <f t="shared" si="34"/>
        <v>30543.911881102656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2031</v>
      </c>
      <c r="D42" s="55">
        <f>IF(F41+SUM(E$17:E41)=D$10,F41,D$10-SUM(E$17:E41))</f>
        <v>173938.73294854569</v>
      </c>
      <c r="E42" s="354">
        <f>IF(+I14&lt;F41,I14,D42)</f>
        <v>10203.736842105263</v>
      </c>
      <c r="F42" s="55">
        <f t="shared" si="32"/>
        <v>163734.99610644043</v>
      </c>
      <c r="G42" s="355">
        <f t="shared" si="33"/>
        <v>29384.701110849241</v>
      </c>
      <c r="H42" s="336">
        <f t="shared" si="34"/>
        <v>29384.701110849241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2032</v>
      </c>
      <c r="D43" s="55">
        <f>IF(F42+SUM(E$17:E42)=D$10,F42,D$10-SUM(E$17:E42))</f>
        <v>163734.99610644043</v>
      </c>
      <c r="E43" s="354">
        <f>IF(+I14&lt;F42,I14,D43)</f>
        <v>10203.736842105263</v>
      </c>
      <c r="F43" s="55">
        <f t="shared" si="32"/>
        <v>153531.25926433518</v>
      </c>
      <c r="G43" s="355">
        <f t="shared" si="33"/>
        <v>28225.490340595818</v>
      </c>
      <c r="H43" s="336">
        <f t="shared" si="34"/>
        <v>28225.490340595818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2033</v>
      </c>
      <c r="D44" s="55">
        <f>IF(F43+SUM(E$17:E43)=D$10,F43,D$10-SUM(E$17:E43))</f>
        <v>153531.25926433518</v>
      </c>
      <c r="E44" s="354">
        <f>IF(+I14&lt;F43,I14,D44)</f>
        <v>10203.736842105263</v>
      </c>
      <c r="F44" s="55">
        <f t="shared" si="32"/>
        <v>143327.52242222993</v>
      </c>
      <c r="G44" s="355">
        <f t="shared" si="33"/>
        <v>27066.279570342402</v>
      </c>
      <c r="H44" s="336">
        <f t="shared" si="34"/>
        <v>27066.279570342402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2034</v>
      </c>
      <c r="D45" s="55">
        <f>IF(F44+SUM(E$17:E44)=D$10,F44,D$10-SUM(E$17:E44))</f>
        <v>143327.52242222993</v>
      </c>
      <c r="E45" s="354">
        <f>IF(+I14&lt;F44,I14,D45)</f>
        <v>10203.736842105263</v>
      </c>
      <c r="F45" s="55">
        <f t="shared" si="32"/>
        <v>133123.78558012468</v>
      </c>
      <c r="G45" s="355">
        <f t="shared" si="33"/>
        <v>25907.068800088979</v>
      </c>
      <c r="H45" s="336">
        <f t="shared" si="34"/>
        <v>25907.068800088979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2035</v>
      </c>
      <c r="D46" s="55">
        <f>IF(F45+SUM(E$17:E45)=D$10,F45,D$10-SUM(E$17:E45))</f>
        <v>133123.78558012468</v>
      </c>
      <c r="E46" s="354">
        <f>IF(+I14&lt;F45,I14,D46)</f>
        <v>10203.736842105263</v>
      </c>
      <c r="F46" s="55">
        <f t="shared" si="32"/>
        <v>122920.04873801941</v>
      </c>
      <c r="G46" s="355">
        <f t="shared" si="33"/>
        <v>24747.858029835563</v>
      </c>
      <c r="H46" s="336">
        <f t="shared" si="34"/>
        <v>24747.858029835563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2036</v>
      </c>
      <c r="D47" s="55">
        <f>IF(F46+SUM(E$17:E46)=D$10,F46,D$10-SUM(E$17:E46))</f>
        <v>122920.04873801941</v>
      </c>
      <c r="E47" s="354">
        <f>IF(+I14&lt;F46,I14,D47)</f>
        <v>10203.736842105263</v>
      </c>
      <c r="F47" s="55">
        <f t="shared" si="32"/>
        <v>112716.31189591414</v>
      </c>
      <c r="G47" s="355">
        <f t="shared" si="33"/>
        <v>23588.647259582143</v>
      </c>
      <c r="H47" s="336">
        <f t="shared" si="34"/>
        <v>23588.647259582143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2037</v>
      </c>
      <c r="D48" s="55">
        <f>IF(F47+SUM(E$17:E47)=D$10,F47,D$10-SUM(E$17:E47))</f>
        <v>112716.31189591414</v>
      </c>
      <c r="E48" s="354">
        <f>IF(+I14&lt;F47,I14,D48)</f>
        <v>10203.736842105263</v>
      </c>
      <c r="F48" s="55">
        <f t="shared" si="32"/>
        <v>102512.57505380888</v>
      </c>
      <c r="G48" s="355">
        <f t="shared" si="33"/>
        <v>22429.43648932872</v>
      </c>
      <c r="H48" s="336">
        <f t="shared" si="34"/>
        <v>22429.43648932872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>
      <c r="B49" s="7" t="str">
        <f t="shared" si="6"/>
        <v/>
      </c>
      <c r="C49" s="50">
        <f>IF(D11="","-",+C48+1)</f>
        <v>2038</v>
      </c>
      <c r="D49" s="55">
        <f>IF(F48+SUM(E$17:E48)=D$10,F48,D$10-SUM(E$17:E48))</f>
        <v>102512.57505380888</v>
      </c>
      <c r="E49" s="354">
        <f>IF(+I14&lt;F48,I14,D49)</f>
        <v>10203.736842105263</v>
      </c>
      <c r="F49" s="55">
        <f t="shared" si="32"/>
        <v>92308.838211703609</v>
      </c>
      <c r="G49" s="355">
        <f t="shared" si="33"/>
        <v>21270.225719075301</v>
      </c>
      <c r="H49" s="336">
        <f t="shared" si="34"/>
        <v>21270.225719075301</v>
      </c>
      <c r="I49" s="52">
        <f t="shared" ref="I49:I72" si="35">H49-G49</f>
        <v>0</v>
      </c>
      <c r="J49" s="52"/>
      <c r="K49" s="115"/>
      <c r="L49" s="54">
        <f t="shared" ref="L49:L72" si="36">IF(K49&lt;&gt;0,+G49-K49,0)</f>
        <v>0</v>
      </c>
      <c r="M49" s="115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6">
      <c r="B50" s="7" t="str">
        <f t="shared" si="6"/>
        <v/>
      </c>
      <c r="C50" s="50">
        <f>IF(D11="","-",+C49+1)</f>
        <v>2039</v>
      </c>
      <c r="D50" s="55">
        <f>IF(F49+SUM(E$17:E49)=D$10,F49,D$10-SUM(E$17:E49))</f>
        <v>92308.838211703609</v>
      </c>
      <c r="E50" s="354">
        <f>IF(+I14&lt;F49,I14,D50)</f>
        <v>10203.736842105263</v>
      </c>
      <c r="F50" s="55">
        <f t="shared" si="32"/>
        <v>82105.101369598342</v>
      </c>
      <c r="G50" s="355">
        <f t="shared" si="33"/>
        <v>20111.014948821881</v>
      </c>
      <c r="H50" s="336">
        <f t="shared" si="34"/>
        <v>20111.014948821881</v>
      </c>
      <c r="I50" s="52">
        <f t="shared" si="35"/>
        <v>0</v>
      </c>
      <c r="J50" s="52"/>
      <c r="K50" s="115"/>
      <c r="L50" s="54">
        <f t="shared" si="36"/>
        <v>0</v>
      </c>
      <c r="M50" s="115"/>
      <c r="N50" s="54">
        <f t="shared" si="37"/>
        <v>0</v>
      </c>
      <c r="O50" s="54">
        <f t="shared" si="38"/>
        <v>0</v>
      </c>
      <c r="P50" s="1"/>
    </row>
    <row r="51" spans="2:16">
      <c r="B51" s="7" t="str">
        <f t="shared" si="6"/>
        <v/>
      </c>
      <c r="C51" s="50">
        <f>IF(D11="","-",+C50+1)</f>
        <v>2040</v>
      </c>
      <c r="D51" s="55">
        <f>IF(F50+SUM(E$17:E50)=D$10,F50,D$10-SUM(E$17:E50))</f>
        <v>82105.101369598342</v>
      </c>
      <c r="E51" s="354">
        <f>IF(+I14&lt;F50,I14,D51)</f>
        <v>10203.736842105263</v>
      </c>
      <c r="F51" s="55">
        <f t="shared" si="32"/>
        <v>71901.364527493075</v>
      </c>
      <c r="G51" s="355">
        <f t="shared" si="33"/>
        <v>18951.804178568462</v>
      </c>
      <c r="H51" s="336">
        <f t="shared" si="34"/>
        <v>18951.804178568462</v>
      </c>
      <c r="I51" s="52">
        <f t="shared" si="35"/>
        <v>0</v>
      </c>
      <c r="J51" s="52"/>
      <c r="K51" s="115"/>
      <c r="L51" s="54">
        <f t="shared" si="36"/>
        <v>0</v>
      </c>
      <c r="M51" s="115"/>
      <c r="N51" s="54">
        <f t="shared" si="37"/>
        <v>0</v>
      </c>
      <c r="O51" s="54">
        <f t="shared" si="38"/>
        <v>0</v>
      </c>
      <c r="P51" s="1"/>
    </row>
    <row r="52" spans="2:16">
      <c r="B52" s="7" t="str">
        <f t="shared" si="6"/>
        <v/>
      </c>
      <c r="C52" s="50">
        <f>IF(D11="","-",+C51+1)</f>
        <v>2041</v>
      </c>
      <c r="D52" s="55">
        <f>IF(F51+SUM(E$17:E51)=D$10,F51,D$10-SUM(E$17:E51))</f>
        <v>71901.364527493075</v>
      </c>
      <c r="E52" s="354">
        <f>IF(+I14&lt;F51,I14,D52)</f>
        <v>10203.736842105263</v>
      </c>
      <c r="F52" s="55">
        <f t="shared" si="32"/>
        <v>61697.627685387808</v>
      </c>
      <c r="G52" s="355">
        <f t="shared" si="33"/>
        <v>17792.593408315042</v>
      </c>
      <c r="H52" s="336">
        <f t="shared" si="34"/>
        <v>17792.593408315042</v>
      </c>
      <c r="I52" s="52">
        <f t="shared" si="35"/>
        <v>0</v>
      </c>
      <c r="J52" s="52"/>
      <c r="K52" s="115"/>
      <c r="L52" s="54">
        <f t="shared" si="36"/>
        <v>0</v>
      </c>
      <c r="M52" s="115"/>
      <c r="N52" s="54">
        <f t="shared" si="37"/>
        <v>0</v>
      </c>
      <c r="O52" s="54">
        <f t="shared" si="38"/>
        <v>0</v>
      </c>
      <c r="P52" s="1"/>
    </row>
    <row r="53" spans="2:16">
      <c r="B53" s="7" t="str">
        <f t="shared" si="6"/>
        <v/>
      </c>
      <c r="C53" s="50">
        <f>IF(D11="","-",+C52+1)</f>
        <v>2042</v>
      </c>
      <c r="D53" s="55">
        <f>IF(F52+SUM(E$17:E52)=D$10,F52,D$10-SUM(E$17:E52))</f>
        <v>61697.627685387808</v>
      </c>
      <c r="E53" s="354">
        <f>IF(+I14&lt;F52,I14,D53)</f>
        <v>10203.736842105263</v>
      </c>
      <c r="F53" s="55">
        <f t="shared" si="32"/>
        <v>51493.890843282541</v>
      </c>
      <c r="G53" s="355">
        <f t="shared" si="33"/>
        <v>16633.382638061623</v>
      </c>
      <c r="H53" s="336">
        <f t="shared" si="34"/>
        <v>16633.382638061623</v>
      </c>
      <c r="I53" s="52">
        <f t="shared" si="35"/>
        <v>0</v>
      </c>
      <c r="J53" s="52"/>
      <c r="K53" s="115"/>
      <c r="L53" s="54">
        <f t="shared" si="36"/>
        <v>0</v>
      </c>
      <c r="M53" s="115"/>
      <c r="N53" s="54">
        <f t="shared" si="37"/>
        <v>0</v>
      </c>
      <c r="O53" s="54">
        <f t="shared" si="38"/>
        <v>0</v>
      </c>
      <c r="P53" s="1"/>
    </row>
    <row r="54" spans="2:16">
      <c r="B54" s="7" t="str">
        <f t="shared" si="6"/>
        <v/>
      </c>
      <c r="C54" s="50">
        <f>IF(D11="","-",+C53+1)</f>
        <v>2043</v>
      </c>
      <c r="D54" s="55">
        <f>IF(F53+SUM(E$17:E53)=D$10,F53,D$10-SUM(E$17:E53))</f>
        <v>51493.890843282541</v>
      </c>
      <c r="E54" s="354">
        <f>IF(+I14&lt;F53,I14,D54)</f>
        <v>10203.736842105263</v>
      </c>
      <c r="F54" s="55">
        <f t="shared" si="32"/>
        <v>41290.154001177274</v>
      </c>
      <c r="G54" s="355">
        <f t="shared" si="33"/>
        <v>15474.1718678082</v>
      </c>
      <c r="H54" s="336">
        <f t="shared" si="34"/>
        <v>15474.1718678082</v>
      </c>
      <c r="I54" s="52">
        <f t="shared" si="35"/>
        <v>0</v>
      </c>
      <c r="J54" s="52"/>
      <c r="K54" s="115"/>
      <c r="L54" s="54">
        <f t="shared" si="36"/>
        <v>0</v>
      </c>
      <c r="M54" s="115"/>
      <c r="N54" s="54">
        <f t="shared" si="37"/>
        <v>0</v>
      </c>
      <c r="O54" s="54">
        <f t="shared" si="38"/>
        <v>0</v>
      </c>
      <c r="P54" s="1"/>
    </row>
    <row r="55" spans="2:16">
      <c r="B55" s="7" t="str">
        <f t="shared" si="6"/>
        <v/>
      </c>
      <c r="C55" s="50">
        <f>IF(D11="","-",+C54+1)</f>
        <v>2044</v>
      </c>
      <c r="D55" s="55">
        <f>IF(F54+SUM(E$17:E54)=D$10,F54,D$10-SUM(E$17:E54))</f>
        <v>41290.154001177274</v>
      </c>
      <c r="E55" s="354">
        <f>IF(+I14&lt;F54,I14,D55)</f>
        <v>10203.736842105263</v>
      </c>
      <c r="F55" s="55">
        <f t="shared" si="32"/>
        <v>31086.417159072011</v>
      </c>
      <c r="G55" s="355">
        <f t="shared" si="33"/>
        <v>14314.96109755478</v>
      </c>
      <c r="H55" s="336">
        <f t="shared" si="34"/>
        <v>14314.96109755478</v>
      </c>
      <c r="I55" s="52">
        <f t="shared" si="35"/>
        <v>0</v>
      </c>
      <c r="J55" s="52"/>
      <c r="K55" s="115"/>
      <c r="L55" s="54">
        <f t="shared" si="36"/>
        <v>0</v>
      </c>
      <c r="M55" s="115"/>
      <c r="N55" s="54">
        <f t="shared" si="37"/>
        <v>0</v>
      </c>
      <c r="O55" s="54">
        <f t="shared" si="38"/>
        <v>0</v>
      </c>
      <c r="P55" s="1"/>
    </row>
    <row r="56" spans="2:16">
      <c r="B56" s="7" t="str">
        <f t="shared" si="6"/>
        <v/>
      </c>
      <c r="C56" s="50">
        <f>IF(D11="","-",+C55+1)</f>
        <v>2045</v>
      </c>
      <c r="D56" s="55">
        <f>IF(F55+SUM(E$17:E55)=D$10,F55,D$10-SUM(E$17:E55))</f>
        <v>31086.417159072011</v>
      </c>
      <c r="E56" s="354">
        <f>IF(+I14&lt;F55,I14,D56)</f>
        <v>10203.736842105263</v>
      </c>
      <c r="F56" s="55">
        <f t="shared" si="32"/>
        <v>20882.680316966747</v>
      </c>
      <c r="G56" s="355">
        <f t="shared" si="33"/>
        <v>13155.750327301361</v>
      </c>
      <c r="H56" s="336">
        <f t="shared" si="34"/>
        <v>13155.750327301361</v>
      </c>
      <c r="I56" s="52">
        <f t="shared" si="35"/>
        <v>0</v>
      </c>
      <c r="J56" s="52"/>
      <c r="K56" s="115"/>
      <c r="L56" s="54">
        <f t="shared" si="36"/>
        <v>0</v>
      </c>
      <c r="M56" s="115"/>
      <c r="N56" s="54">
        <f t="shared" si="37"/>
        <v>0</v>
      </c>
      <c r="O56" s="54">
        <f t="shared" si="38"/>
        <v>0</v>
      </c>
      <c r="P56" s="1"/>
    </row>
    <row r="57" spans="2:16">
      <c r="B57" s="7" t="str">
        <f t="shared" si="6"/>
        <v/>
      </c>
      <c r="C57" s="50">
        <f>IF(D11="","-",+C56+1)</f>
        <v>2046</v>
      </c>
      <c r="D57" s="55">
        <f>IF(F56+SUM(E$17:E56)=D$10,F56,D$10-SUM(E$17:E56))</f>
        <v>20882.680316966747</v>
      </c>
      <c r="E57" s="354">
        <f>IF(+I14&lt;F56,I14,D57)</f>
        <v>10203.736842105263</v>
      </c>
      <c r="F57" s="55">
        <f t="shared" si="32"/>
        <v>10678.943474861484</v>
      </c>
      <c r="G57" s="355">
        <f t="shared" si="33"/>
        <v>11996.539557047941</v>
      </c>
      <c r="H57" s="336">
        <f t="shared" si="34"/>
        <v>11996.539557047941</v>
      </c>
      <c r="I57" s="52">
        <f t="shared" si="35"/>
        <v>0</v>
      </c>
      <c r="J57" s="52"/>
      <c r="K57" s="115"/>
      <c r="L57" s="54">
        <f t="shared" si="36"/>
        <v>0</v>
      </c>
      <c r="M57" s="115"/>
      <c r="N57" s="54">
        <f t="shared" si="37"/>
        <v>0</v>
      </c>
      <c r="O57" s="54">
        <f t="shared" si="38"/>
        <v>0</v>
      </c>
      <c r="P57" s="1"/>
    </row>
    <row r="58" spans="2:16">
      <c r="B58" s="7" t="str">
        <f t="shared" si="6"/>
        <v/>
      </c>
      <c r="C58" s="50">
        <f>IF(D11="","-",+C57+1)</f>
        <v>2047</v>
      </c>
      <c r="D58" s="55">
        <f>IF(F57+SUM(E$17:E57)=D$10,F57,D$10-SUM(E$17:E57))</f>
        <v>10678.943474861484</v>
      </c>
      <c r="E58" s="354">
        <f>IF(+I14&lt;F57,I14,D58)</f>
        <v>10203.736842105263</v>
      </c>
      <c r="F58" s="55">
        <f t="shared" si="32"/>
        <v>475.20663275622064</v>
      </c>
      <c r="G58" s="355">
        <f t="shared" si="33"/>
        <v>10837.32878679452</v>
      </c>
      <c r="H58" s="336">
        <f t="shared" si="34"/>
        <v>10837.32878679452</v>
      </c>
      <c r="I58" s="52">
        <f t="shared" si="35"/>
        <v>0</v>
      </c>
      <c r="J58" s="52"/>
      <c r="K58" s="115"/>
      <c r="L58" s="54">
        <f t="shared" si="36"/>
        <v>0</v>
      </c>
      <c r="M58" s="115"/>
      <c r="N58" s="54">
        <f t="shared" si="37"/>
        <v>0</v>
      </c>
      <c r="O58" s="54">
        <f t="shared" si="38"/>
        <v>0</v>
      </c>
      <c r="P58" s="1"/>
    </row>
    <row r="59" spans="2:16">
      <c r="B59" s="7" t="str">
        <f t="shared" si="6"/>
        <v/>
      </c>
      <c r="C59" s="50">
        <f>IF(D11="","-",+C58+1)</f>
        <v>2048</v>
      </c>
      <c r="D59" s="55">
        <f>IF(F58+SUM(E$17:E58)=D$10,F58,D$10-SUM(E$17:E58))</f>
        <v>475.20663275622064</v>
      </c>
      <c r="E59" s="354">
        <f>IF(+I14&lt;F58,I14,D59)</f>
        <v>475.20663275622064</v>
      </c>
      <c r="F59" s="55">
        <f t="shared" si="32"/>
        <v>0</v>
      </c>
      <c r="G59" s="355">
        <f t="shared" si="33"/>
        <v>502.19991253749424</v>
      </c>
      <c r="H59" s="336">
        <f t="shared" si="34"/>
        <v>502.19991253749424</v>
      </c>
      <c r="I59" s="52">
        <f t="shared" si="35"/>
        <v>0</v>
      </c>
      <c r="J59" s="52"/>
      <c r="K59" s="115"/>
      <c r="L59" s="54">
        <f t="shared" si="36"/>
        <v>0</v>
      </c>
      <c r="M59" s="115"/>
      <c r="N59" s="54">
        <f t="shared" si="37"/>
        <v>0</v>
      </c>
      <c r="O59" s="54">
        <f t="shared" si="38"/>
        <v>0</v>
      </c>
      <c r="P59" s="1"/>
    </row>
    <row r="60" spans="2:16">
      <c r="B60" s="7" t="str">
        <f t="shared" si="6"/>
        <v/>
      </c>
      <c r="C60" s="50">
        <f>IF(D11="","-",+C59+1)</f>
        <v>2049</v>
      </c>
      <c r="D60" s="55">
        <f>IF(F59+SUM(E$17:E59)=D$10,F59,D$10-SUM(E$17:E59))</f>
        <v>0</v>
      </c>
      <c r="E60" s="354">
        <f>IF(+I14&lt;F59,I14,D60)</f>
        <v>0</v>
      </c>
      <c r="F60" s="55">
        <f t="shared" si="32"/>
        <v>0</v>
      </c>
      <c r="G60" s="355">
        <f t="shared" si="33"/>
        <v>0</v>
      </c>
      <c r="H60" s="336">
        <f t="shared" si="34"/>
        <v>0</v>
      </c>
      <c r="I60" s="52">
        <f t="shared" si="35"/>
        <v>0</v>
      </c>
      <c r="J60" s="52"/>
      <c r="K60" s="115"/>
      <c r="L60" s="54">
        <f t="shared" si="36"/>
        <v>0</v>
      </c>
      <c r="M60" s="115"/>
      <c r="N60" s="54">
        <f t="shared" si="37"/>
        <v>0</v>
      </c>
      <c r="O60" s="54">
        <f t="shared" si="38"/>
        <v>0</v>
      </c>
      <c r="P60" s="1"/>
    </row>
    <row r="61" spans="2:16">
      <c r="B61" s="7" t="str">
        <f t="shared" si="6"/>
        <v/>
      </c>
      <c r="C61" s="50">
        <f>IF(D11="","-",+C60+1)</f>
        <v>2050</v>
      </c>
      <c r="D61" s="55">
        <f>IF(F60+SUM(E$17:E60)=D$10,F60,D$10-SUM(E$17:E60))</f>
        <v>0</v>
      </c>
      <c r="E61" s="354">
        <f>IF(+I14&lt;F60,I14,D61)</f>
        <v>0</v>
      </c>
      <c r="F61" s="55">
        <f t="shared" si="32"/>
        <v>0</v>
      </c>
      <c r="G61" s="355">
        <f t="shared" si="33"/>
        <v>0</v>
      </c>
      <c r="H61" s="336">
        <f t="shared" si="34"/>
        <v>0</v>
      </c>
      <c r="I61" s="52">
        <f t="shared" si="35"/>
        <v>0</v>
      </c>
      <c r="J61" s="52"/>
      <c r="K61" s="115"/>
      <c r="L61" s="54">
        <f t="shared" si="36"/>
        <v>0</v>
      </c>
      <c r="M61" s="115"/>
      <c r="N61" s="54">
        <f t="shared" si="37"/>
        <v>0</v>
      </c>
      <c r="O61" s="54">
        <f t="shared" si="38"/>
        <v>0</v>
      </c>
      <c r="P61" s="1"/>
    </row>
    <row r="62" spans="2:16">
      <c r="B62" s="7" t="str">
        <f t="shared" si="6"/>
        <v/>
      </c>
      <c r="C62" s="50">
        <f>IF(D11="","-",+C61+1)</f>
        <v>2051</v>
      </c>
      <c r="D62" s="55">
        <f>IF(F61+SUM(E$17:E61)=D$10,F61,D$10-SUM(E$17:E61))</f>
        <v>0</v>
      </c>
      <c r="E62" s="354">
        <f>IF(+I14&lt;F61,I14,D62)</f>
        <v>0</v>
      </c>
      <c r="F62" s="55">
        <f t="shared" si="32"/>
        <v>0</v>
      </c>
      <c r="G62" s="355">
        <f t="shared" si="33"/>
        <v>0</v>
      </c>
      <c r="H62" s="336">
        <f t="shared" si="34"/>
        <v>0</v>
      </c>
      <c r="I62" s="52">
        <f t="shared" si="35"/>
        <v>0</v>
      </c>
      <c r="J62" s="52"/>
      <c r="K62" s="115"/>
      <c r="L62" s="54">
        <f t="shared" si="36"/>
        <v>0</v>
      </c>
      <c r="M62" s="115"/>
      <c r="N62" s="54">
        <f t="shared" si="37"/>
        <v>0</v>
      </c>
      <c r="O62" s="54">
        <f t="shared" si="38"/>
        <v>0</v>
      </c>
      <c r="P62" s="1"/>
    </row>
    <row r="63" spans="2:16">
      <c r="B63" s="7" t="str">
        <f t="shared" si="6"/>
        <v/>
      </c>
      <c r="C63" s="50">
        <f>IF(D11="","-",+C62+1)</f>
        <v>2052</v>
      </c>
      <c r="D63" s="55">
        <f>IF(F62+SUM(E$17:E62)=D$10,F62,D$10-SUM(E$17:E62))</f>
        <v>0</v>
      </c>
      <c r="E63" s="354">
        <f>IF(+I14&lt;F62,I14,D63)</f>
        <v>0</v>
      </c>
      <c r="F63" s="55">
        <f t="shared" si="32"/>
        <v>0</v>
      </c>
      <c r="G63" s="355">
        <f t="shared" si="33"/>
        <v>0</v>
      </c>
      <c r="H63" s="336">
        <f t="shared" si="34"/>
        <v>0</v>
      </c>
      <c r="I63" s="52">
        <f t="shared" si="35"/>
        <v>0</v>
      </c>
      <c r="J63" s="52"/>
      <c r="K63" s="115"/>
      <c r="L63" s="54">
        <f t="shared" si="36"/>
        <v>0</v>
      </c>
      <c r="M63" s="115"/>
      <c r="N63" s="54">
        <f t="shared" si="37"/>
        <v>0</v>
      </c>
      <c r="O63" s="54">
        <f t="shared" si="38"/>
        <v>0</v>
      </c>
      <c r="P63" s="1"/>
    </row>
    <row r="64" spans="2:16">
      <c r="B64" s="7" t="str">
        <f t="shared" si="6"/>
        <v/>
      </c>
      <c r="C64" s="50">
        <f>IF(D11="","-",+C63+1)</f>
        <v>2053</v>
      </c>
      <c r="D64" s="55">
        <f>IF(F63+SUM(E$17:E63)=D$10,F63,D$10-SUM(E$17:E63))</f>
        <v>0</v>
      </c>
      <c r="E64" s="354">
        <f>IF(+I14&lt;F63,I14,D64)</f>
        <v>0</v>
      </c>
      <c r="F64" s="55">
        <f t="shared" si="32"/>
        <v>0</v>
      </c>
      <c r="G64" s="355">
        <f t="shared" si="33"/>
        <v>0</v>
      </c>
      <c r="H64" s="336">
        <f t="shared" si="34"/>
        <v>0</v>
      </c>
      <c r="I64" s="52">
        <f t="shared" si="35"/>
        <v>0</v>
      </c>
      <c r="J64" s="52"/>
      <c r="K64" s="115"/>
      <c r="L64" s="54">
        <f t="shared" si="36"/>
        <v>0</v>
      </c>
      <c r="M64" s="115"/>
      <c r="N64" s="54">
        <f t="shared" si="37"/>
        <v>0</v>
      </c>
      <c r="O64" s="54">
        <f t="shared" si="38"/>
        <v>0</v>
      </c>
      <c r="P64" s="1"/>
    </row>
    <row r="65" spans="2:16">
      <c r="B65" s="7" t="str">
        <f t="shared" si="6"/>
        <v/>
      </c>
      <c r="C65" s="50">
        <f>IF(D11="","-",+C64+1)</f>
        <v>2054</v>
      </c>
      <c r="D65" s="55">
        <f>IF(F64+SUM(E$17:E64)=D$10,F64,D$10-SUM(E$17:E64))</f>
        <v>0</v>
      </c>
      <c r="E65" s="354">
        <f>IF(+I14&lt;F64,I14,D65)</f>
        <v>0</v>
      </c>
      <c r="F65" s="55">
        <f t="shared" si="32"/>
        <v>0</v>
      </c>
      <c r="G65" s="355">
        <f t="shared" si="33"/>
        <v>0</v>
      </c>
      <c r="H65" s="336">
        <f t="shared" si="34"/>
        <v>0</v>
      </c>
      <c r="I65" s="52">
        <f t="shared" si="35"/>
        <v>0</v>
      </c>
      <c r="J65" s="52"/>
      <c r="K65" s="115"/>
      <c r="L65" s="54">
        <f t="shared" si="36"/>
        <v>0</v>
      </c>
      <c r="M65" s="115"/>
      <c r="N65" s="54">
        <f t="shared" si="37"/>
        <v>0</v>
      </c>
      <c r="O65" s="54">
        <f t="shared" si="38"/>
        <v>0</v>
      </c>
      <c r="P65" s="1"/>
    </row>
    <row r="66" spans="2:16">
      <c r="B66" s="7" t="str">
        <f t="shared" si="6"/>
        <v/>
      </c>
      <c r="C66" s="50">
        <f>IF(D11="","-",+C65+1)</f>
        <v>2055</v>
      </c>
      <c r="D66" s="55">
        <f>IF(F65+SUM(E$17:E65)=D$10,F65,D$10-SUM(E$17:E65))</f>
        <v>0</v>
      </c>
      <c r="E66" s="354">
        <f>IF(+I14&lt;F65,I14,D66)</f>
        <v>0</v>
      </c>
      <c r="F66" s="55">
        <f t="shared" si="32"/>
        <v>0</v>
      </c>
      <c r="G66" s="355">
        <f t="shared" si="33"/>
        <v>0</v>
      </c>
      <c r="H66" s="336">
        <f t="shared" si="34"/>
        <v>0</v>
      </c>
      <c r="I66" s="52">
        <f t="shared" si="35"/>
        <v>0</v>
      </c>
      <c r="J66" s="52"/>
      <c r="K66" s="115"/>
      <c r="L66" s="54">
        <f t="shared" si="36"/>
        <v>0</v>
      </c>
      <c r="M66" s="115"/>
      <c r="N66" s="54">
        <f t="shared" si="37"/>
        <v>0</v>
      </c>
      <c r="O66" s="54">
        <f t="shared" si="38"/>
        <v>0</v>
      </c>
      <c r="P66" s="1"/>
    </row>
    <row r="67" spans="2:16">
      <c r="B67" s="7" t="str">
        <f t="shared" si="6"/>
        <v/>
      </c>
      <c r="C67" s="50">
        <f>IF(D11="","-",+C66+1)</f>
        <v>2056</v>
      </c>
      <c r="D67" s="55">
        <f>IF(F66+SUM(E$17:E66)=D$10,F66,D$10-SUM(E$17:E66))</f>
        <v>0</v>
      </c>
      <c r="E67" s="354">
        <f>IF(+I14&lt;F66,I14,D67)</f>
        <v>0</v>
      </c>
      <c r="F67" s="55">
        <f t="shared" si="32"/>
        <v>0</v>
      </c>
      <c r="G67" s="355">
        <f t="shared" si="33"/>
        <v>0</v>
      </c>
      <c r="H67" s="336">
        <f t="shared" si="34"/>
        <v>0</v>
      </c>
      <c r="I67" s="52">
        <f t="shared" si="35"/>
        <v>0</v>
      </c>
      <c r="J67" s="52"/>
      <c r="K67" s="115"/>
      <c r="L67" s="54">
        <f t="shared" si="36"/>
        <v>0</v>
      </c>
      <c r="M67" s="115"/>
      <c r="N67" s="54">
        <f t="shared" si="37"/>
        <v>0</v>
      </c>
      <c r="O67" s="54">
        <f t="shared" si="38"/>
        <v>0</v>
      </c>
      <c r="P67" s="1"/>
    </row>
    <row r="68" spans="2:16">
      <c r="B68" s="7" t="str">
        <f t="shared" si="6"/>
        <v/>
      </c>
      <c r="C68" s="50">
        <f>IF(D11="","-",+C67+1)</f>
        <v>2057</v>
      </c>
      <c r="D68" s="55">
        <f>IF(F67+SUM(E$17:E67)=D$10,F67,D$10-SUM(E$17:E67))</f>
        <v>0</v>
      </c>
      <c r="E68" s="354">
        <f>IF(+I14&lt;F67,I14,D68)</f>
        <v>0</v>
      </c>
      <c r="F68" s="55">
        <f t="shared" si="32"/>
        <v>0</v>
      </c>
      <c r="G68" s="355">
        <f t="shared" si="33"/>
        <v>0</v>
      </c>
      <c r="H68" s="336">
        <f t="shared" si="34"/>
        <v>0</v>
      </c>
      <c r="I68" s="52">
        <f t="shared" si="35"/>
        <v>0</v>
      </c>
      <c r="J68" s="52"/>
      <c r="K68" s="115"/>
      <c r="L68" s="54">
        <f t="shared" si="36"/>
        <v>0</v>
      </c>
      <c r="M68" s="115"/>
      <c r="N68" s="54">
        <f t="shared" si="37"/>
        <v>0</v>
      </c>
      <c r="O68" s="54">
        <f t="shared" si="38"/>
        <v>0</v>
      </c>
      <c r="P68" s="1"/>
    </row>
    <row r="69" spans="2:16">
      <c r="B69" s="7" t="str">
        <f t="shared" si="6"/>
        <v/>
      </c>
      <c r="C69" s="50">
        <f>IF(D11="","-",+C68+1)</f>
        <v>2058</v>
      </c>
      <c r="D69" s="55">
        <f>IF(F68+SUM(E$17:E68)=D$10,F68,D$10-SUM(E$17:E68))</f>
        <v>0</v>
      </c>
      <c r="E69" s="354">
        <f>IF(+I14&lt;F68,I14,D69)</f>
        <v>0</v>
      </c>
      <c r="F69" s="55">
        <f t="shared" si="32"/>
        <v>0</v>
      </c>
      <c r="G69" s="355">
        <f t="shared" si="33"/>
        <v>0</v>
      </c>
      <c r="H69" s="336">
        <f t="shared" si="34"/>
        <v>0</v>
      </c>
      <c r="I69" s="52">
        <f t="shared" si="35"/>
        <v>0</v>
      </c>
      <c r="J69" s="52"/>
      <c r="K69" s="115"/>
      <c r="L69" s="54">
        <f t="shared" si="36"/>
        <v>0</v>
      </c>
      <c r="M69" s="115"/>
      <c r="N69" s="54">
        <f t="shared" si="37"/>
        <v>0</v>
      </c>
      <c r="O69" s="54">
        <f t="shared" si="38"/>
        <v>0</v>
      </c>
      <c r="P69" s="1"/>
    </row>
    <row r="70" spans="2:16">
      <c r="B70" s="7" t="str">
        <f t="shared" si="6"/>
        <v/>
      </c>
      <c r="C70" s="50">
        <f>IF(D11="","-",+C69+1)</f>
        <v>2059</v>
      </c>
      <c r="D70" s="55">
        <f>IF(F69+SUM(E$17:E69)=D$10,F69,D$10-SUM(E$17:E69))</f>
        <v>0</v>
      </c>
      <c r="E70" s="354">
        <f>IF(+I14&lt;F69,I14,D70)</f>
        <v>0</v>
      </c>
      <c r="F70" s="55">
        <f t="shared" si="32"/>
        <v>0</v>
      </c>
      <c r="G70" s="355">
        <f t="shared" si="33"/>
        <v>0</v>
      </c>
      <c r="H70" s="336">
        <f t="shared" si="34"/>
        <v>0</v>
      </c>
      <c r="I70" s="52">
        <f t="shared" si="35"/>
        <v>0</v>
      </c>
      <c r="J70" s="52"/>
      <c r="K70" s="115"/>
      <c r="L70" s="54">
        <f t="shared" si="36"/>
        <v>0</v>
      </c>
      <c r="M70" s="115"/>
      <c r="N70" s="54">
        <f t="shared" si="37"/>
        <v>0</v>
      </c>
      <c r="O70" s="54">
        <f t="shared" si="38"/>
        <v>0</v>
      </c>
      <c r="P70" s="1"/>
    </row>
    <row r="71" spans="2:16">
      <c r="B71" s="7" t="str">
        <f t="shared" si="6"/>
        <v/>
      </c>
      <c r="C71" s="50">
        <f>IF(D11="","-",+C70+1)</f>
        <v>2060</v>
      </c>
      <c r="D71" s="55">
        <f>IF(F70+SUM(E$17:E70)=D$10,F70,D$10-SUM(E$17:E70))</f>
        <v>0</v>
      </c>
      <c r="E71" s="354">
        <f>IF(+I14&lt;F70,I14,D71)</f>
        <v>0</v>
      </c>
      <c r="F71" s="55">
        <f t="shared" si="32"/>
        <v>0</v>
      </c>
      <c r="G71" s="355">
        <f t="shared" si="33"/>
        <v>0</v>
      </c>
      <c r="H71" s="336">
        <f t="shared" si="34"/>
        <v>0</v>
      </c>
      <c r="I71" s="52">
        <f t="shared" si="35"/>
        <v>0</v>
      </c>
      <c r="J71" s="52"/>
      <c r="K71" s="115"/>
      <c r="L71" s="54">
        <f t="shared" si="36"/>
        <v>0</v>
      </c>
      <c r="M71" s="115"/>
      <c r="N71" s="54">
        <f t="shared" si="37"/>
        <v>0</v>
      </c>
      <c r="O71" s="54">
        <f t="shared" si="38"/>
        <v>0</v>
      </c>
      <c r="P71" s="1"/>
    </row>
    <row r="72" spans="2:16" ht="13.5" thickBot="1">
      <c r="B72" s="7" t="str">
        <f t="shared" si="6"/>
        <v/>
      </c>
      <c r="C72" s="58">
        <f>IF(D11="","-",+C71+1)</f>
        <v>2061</v>
      </c>
      <c r="D72" s="59">
        <f>IF(F71+SUM(E$17:E71)=D$10,F71,D$10-SUM(E$17:E71))</f>
        <v>0</v>
      </c>
      <c r="E72" s="357">
        <f>IF(+I14&lt;F71,I14,D72)</f>
        <v>0</v>
      </c>
      <c r="F72" s="59">
        <f t="shared" si="32"/>
        <v>0</v>
      </c>
      <c r="G72" s="59">
        <f t="shared" si="33"/>
        <v>0</v>
      </c>
      <c r="H72" s="59">
        <f t="shared" si="34"/>
        <v>0</v>
      </c>
      <c r="I72" s="61">
        <f t="shared" si="35"/>
        <v>0</v>
      </c>
      <c r="J72" s="52"/>
      <c r="K72" s="116"/>
      <c r="L72" s="62">
        <f t="shared" si="36"/>
        <v>0</v>
      </c>
      <c r="M72" s="116"/>
      <c r="N72" s="62">
        <f t="shared" si="37"/>
        <v>0</v>
      </c>
      <c r="O72" s="62">
        <f t="shared" si="38"/>
        <v>0</v>
      </c>
      <c r="P72" s="1"/>
    </row>
    <row r="73" spans="2:16">
      <c r="C73" s="12" t="s">
        <v>77</v>
      </c>
      <c r="D73" s="266"/>
      <c r="E73" s="266">
        <f>SUM(E17:E72)</f>
        <v>387742.00000000017</v>
      </c>
      <c r="F73" s="266"/>
      <c r="G73" s="266">
        <f>SUM(G17:G72)</f>
        <v>1430647.4375463524</v>
      </c>
      <c r="H73" s="266">
        <f>SUM(H17:H72)</f>
        <v>1430647.4375463524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5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35760.36034724304</v>
      </c>
      <c r="N87" s="364">
        <f>IF(J92&lt;D11,0,VLOOKUP(J92,C17:O72,11))</f>
        <v>35760.36034724304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37698.342818516052</v>
      </c>
      <c r="N88" s="367">
        <f>IF(J92&lt;D11,0,VLOOKUP(J92,C99:P154,7))</f>
        <v>37698.342818516052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Catoosa 138 kV Device (Cap. Bank)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1937.9824712730115</v>
      </c>
      <c r="N89" s="369">
        <f>+N88-N87</f>
        <v>1937.9824712730115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TP2005006</v>
      </c>
      <c r="E91" s="74" t="str">
        <f>E9</f>
        <v>SPP Project ID =</v>
      </c>
      <c r="F91" s="513">
        <f>F9</f>
        <v>30001</v>
      </c>
      <c r="G91" s="74"/>
      <c r="H91" s="74"/>
      <c r="I91" s="74"/>
      <c r="J91" s="74"/>
    </row>
    <row r="92" spans="1:16">
      <c r="C92" s="128" t="s">
        <v>226</v>
      </c>
      <c r="D92" s="335">
        <v>387742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2006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5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10480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101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2006</v>
      </c>
      <c r="D99" s="348">
        <v>0</v>
      </c>
      <c r="E99" s="352">
        <v>3801</v>
      </c>
      <c r="F99" s="351">
        <v>383941</v>
      </c>
      <c r="G99" s="376">
        <v>385841</v>
      </c>
      <c r="H99" s="377">
        <v>0</v>
      </c>
      <c r="I99" s="378">
        <v>0</v>
      </c>
      <c r="J99" s="54">
        <f t="shared" ref="J99:J130" si="39">+I99-H99</f>
        <v>0</v>
      </c>
      <c r="K99" s="54"/>
      <c r="L99" s="117">
        <v>0</v>
      </c>
      <c r="M99" s="53">
        <f>IF(L99&lt;&gt;0,+H99-L99,0)</f>
        <v>0</v>
      </c>
      <c r="N99" s="117">
        <v>0</v>
      </c>
      <c r="O99" s="53">
        <f>IF(N99&lt;&gt;0,+I99-N99,0)</f>
        <v>0</v>
      </c>
      <c r="P99" s="53">
        <f t="shared" ref="P99:P130" si="40">+O99-M99</f>
        <v>0</v>
      </c>
    </row>
    <row r="100" spans="1:16">
      <c r="B100" s="7" t="str">
        <f t="shared" ref="B100:B154" si="41">IF(D100=F99,"","IU")</f>
        <v/>
      </c>
      <c r="C100" s="50">
        <f>IF(D93="","-",+C99+1)</f>
        <v>2007</v>
      </c>
      <c r="D100" s="348">
        <v>383941</v>
      </c>
      <c r="E100" s="392">
        <v>7603</v>
      </c>
      <c r="F100" s="351">
        <v>376338</v>
      </c>
      <c r="G100" s="351">
        <v>380140</v>
      </c>
      <c r="H100" s="352">
        <v>66528</v>
      </c>
      <c r="I100" s="353">
        <v>66528</v>
      </c>
      <c r="J100" s="54">
        <f t="shared" si="39"/>
        <v>0</v>
      </c>
      <c r="K100" s="54"/>
      <c r="L100" s="350">
        <v>0</v>
      </c>
      <c r="M100" s="54">
        <f>IF(L100&lt;&gt;0,+H100-L100,0)</f>
        <v>0</v>
      </c>
      <c r="N100" s="350">
        <v>0</v>
      </c>
      <c r="O100" s="54">
        <f>IF(N100&lt;&gt;0,+I100-N100,0)</f>
        <v>0</v>
      </c>
      <c r="P100" s="54">
        <f t="shared" si="40"/>
        <v>0</v>
      </c>
    </row>
    <row r="101" spans="1:16">
      <c r="B101" s="7"/>
      <c r="C101" s="50">
        <f>IF(D93="","-",+C100+1)</f>
        <v>2008</v>
      </c>
      <c r="D101" s="348">
        <v>376159</v>
      </c>
      <c r="E101" s="392">
        <v>7316</v>
      </c>
      <c r="F101" s="351">
        <v>368843</v>
      </c>
      <c r="G101" s="351">
        <v>372501</v>
      </c>
      <c r="H101" s="352">
        <v>66486</v>
      </c>
      <c r="I101" s="353">
        <v>66486</v>
      </c>
      <c r="J101" s="54">
        <f t="shared" si="39"/>
        <v>0</v>
      </c>
      <c r="K101" s="54"/>
      <c r="L101" s="350">
        <v>66486</v>
      </c>
      <c r="M101" s="54">
        <f>IF(L101&lt;&gt;"",+H101-L101,0)</f>
        <v>0</v>
      </c>
      <c r="N101" s="350">
        <v>66486</v>
      </c>
      <c r="O101" s="54">
        <f>IF(N101&lt;&gt;"",+I101-N101,0)</f>
        <v>0</v>
      </c>
      <c r="P101" s="54">
        <f t="shared" si="40"/>
        <v>0</v>
      </c>
    </row>
    <row r="102" spans="1:16">
      <c r="B102" s="7"/>
      <c r="C102" s="50">
        <f>IF(D93="","-",+C101+1)</f>
        <v>2009</v>
      </c>
      <c r="D102" s="348">
        <v>369022</v>
      </c>
      <c r="E102" s="352">
        <v>6924</v>
      </c>
      <c r="F102" s="351">
        <v>362098</v>
      </c>
      <c r="G102" s="351">
        <v>365560</v>
      </c>
      <c r="H102" s="352">
        <v>60371.899487403767</v>
      </c>
      <c r="I102" s="353">
        <v>60371.899487403767</v>
      </c>
      <c r="J102" s="54">
        <f t="shared" si="39"/>
        <v>0</v>
      </c>
      <c r="K102" s="54"/>
      <c r="L102" s="350">
        <f t="shared" ref="L102:L107" si="42">H102</f>
        <v>60371.899487403767</v>
      </c>
      <c r="M102" s="54">
        <f t="shared" ref="M102:M133" si="43">IF(L102&lt;&gt;0,+H102-L102,0)</f>
        <v>0</v>
      </c>
      <c r="N102" s="350">
        <f t="shared" ref="N102:N107" si="44">I102</f>
        <v>60371.899487403767</v>
      </c>
      <c r="O102" s="54">
        <f t="shared" ref="O102:O133" si="45">IF(N102&lt;&gt;0,+I102-N102,0)</f>
        <v>0</v>
      </c>
      <c r="P102" s="54">
        <f t="shared" si="40"/>
        <v>0</v>
      </c>
    </row>
    <row r="103" spans="1:16">
      <c r="B103" s="7" t="str">
        <f t="shared" si="41"/>
        <v/>
      </c>
      <c r="C103" s="50">
        <f>IF(D93="","-",+C102+1)</f>
        <v>2010</v>
      </c>
      <c r="D103" s="348">
        <v>362098</v>
      </c>
      <c r="E103" s="352">
        <v>7603</v>
      </c>
      <c r="F103" s="351">
        <v>354495</v>
      </c>
      <c r="G103" s="351">
        <v>358296.5</v>
      </c>
      <c r="H103" s="352">
        <v>65222.531099646738</v>
      </c>
      <c r="I103" s="353">
        <v>65222.531099646738</v>
      </c>
      <c r="J103" s="54">
        <f t="shared" si="39"/>
        <v>0</v>
      </c>
      <c r="K103" s="54"/>
      <c r="L103" s="379">
        <f t="shared" si="42"/>
        <v>65222.531099646738</v>
      </c>
      <c r="M103" s="380">
        <f t="shared" si="43"/>
        <v>0</v>
      </c>
      <c r="N103" s="379">
        <f t="shared" si="44"/>
        <v>65222.531099646738</v>
      </c>
      <c r="O103" s="54">
        <f t="shared" si="45"/>
        <v>0</v>
      </c>
      <c r="P103" s="54">
        <f t="shared" si="40"/>
        <v>0</v>
      </c>
    </row>
    <row r="104" spans="1:16">
      <c r="B104" s="7" t="str">
        <f t="shared" si="41"/>
        <v/>
      </c>
      <c r="C104" s="50">
        <f>IF(D93="","-",+C103+1)</f>
        <v>2011</v>
      </c>
      <c r="D104" s="348">
        <v>354495</v>
      </c>
      <c r="E104" s="352">
        <v>7457</v>
      </c>
      <c r="F104" s="351">
        <v>347038</v>
      </c>
      <c r="G104" s="351">
        <v>350766.5</v>
      </c>
      <c r="H104" s="352">
        <v>56498.870276795831</v>
      </c>
      <c r="I104" s="353">
        <v>56498.870276795831</v>
      </c>
      <c r="J104" s="54">
        <f t="shared" si="39"/>
        <v>0</v>
      </c>
      <c r="K104" s="54"/>
      <c r="L104" s="379">
        <f t="shared" si="42"/>
        <v>56498.870276795831</v>
      </c>
      <c r="M104" s="380">
        <f t="shared" si="43"/>
        <v>0</v>
      </c>
      <c r="N104" s="379">
        <f t="shared" si="44"/>
        <v>56498.870276795831</v>
      </c>
      <c r="O104" s="54">
        <f t="shared" si="45"/>
        <v>0</v>
      </c>
      <c r="P104" s="54">
        <f t="shared" si="40"/>
        <v>0</v>
      </c>
    </row>
    <row r="105" spans="1:16">
      <c r="B105" s="7" t="str">
        <f t="shared" si="41"/>
        <v/>
      </c>
      <c r="C105" s="50">
        <f>IF(D93="","-",+C104+1)</f>
        <v>2012</v>
      </c>
      <c r="D105" s="348">
        <v>347038</v>
      </c>
      <c r="E105" s="352">
        <v>7457</v>
      </c>
      <c r="F105" s="351">
        <v>339581</v>
      </c>
      <c r="G105" s="351">
        <v>343309.5</v>
      </c>
      <c r="H105" s="352">
        <v>56843.953528154576</v>
      </c>
      <c r="I105" s="353">
        <v>56843.953528154576</v>
      </c>
      <c r="J105" s="54">
        <v>0</v>
      </c>
      <c r="K105" s="54"/>
      <c r="L105" s="379">
        <f t="shared" si="42"/>
        <v>56843.953528154576</v>
      </c>
      <c r="M105" s="380">
        <f t="shared" ref="M105:M110" si="46">IF(L105&lt;&gt;0,+H105-L105,0)</f>
        <v>0</v>
      </c>
      <c r="N105" s="379">
        <f t="shared" si="44"/>
        <v>56843.953528154576</v>
      </c>
      <c r="O105" s="54">
        <f t="shared" ref="O105:O110" si="47">IF(N105&lt;&gt;0,+I105-N105,0)</f>
        <v>0</v>
      </c>
      <c r="P105" s="54">
        <f t="shared" ref="P105:P110" si="48">+O105-M105</f>
        <v>0</v>
      </c>
    </row>
    <row r="106" spans="1:16">
      <c r="B106" s="7" t="str">
        <f t="shared" si="41"/>
        <v/>
      </c>
      <c r="C106" s="50">
        <f>IF(D93="","-",+C105+1)</f>
        <v>2013</v>
      </c>
      <c r="D106" s="348">
        <v>339581</v>
      </c>
      <c r="E106" s="352">
        <v>7457</v>
      </c>
      <c r="F106" s="351">
        <v>332124</v>
      </c>
      <c r="G106" s="351">
        <v>335852.5</v>
      </c>
      <c r="H106" s="352">
        <v>55799.472473591821</v>
      </c>
      <c r="I106" s="353">
        <v>55799.472473591821</v>
      </c>
      <c r="J106" s="54">
        <v>0</v>
      </c>
      <c r="K106" s="54"/>
      <c r="L106" s="379">
        <f t="shared" si="42"/>
        <v>55799.472473591821</v>
      </c>
      <c r="M106" s="380">
        <f t="shared" si="46"/>
        <v>0</v>
      </c>
      <c r="N106" s="379">
        <f t="shared" si="44"/>
        <v>55799.472473591821</v>
      </c>
      <c r="O106" s="54">
        <f t="shared" si="47"/>
        <v>0</v>
      </c>
      <c r="P106" s="54">
        <f t="shared" si="48"/>
        <v>0</v>
      </c>
    </row>
    <row r="107" spans="1:16">
      <c r="B107" s="7" t="str">
        <f t="shared" si="41"/>
        <v/>
      </c>
      <c r="C107" s="50">
        <f>IF(D93="","-",+C106+1)</f>
        <v>2014</v>
      </c>
      <c r="D107" s="348">
        <v>332124</v>
      </c>
      <c r="E107" s="352">
        <v>7457</v>
      </c>
      <c r="F107" s="351">
        <v>324667</v>
      </c>
      <c r="G107" s="351">
        <v>328395.5</v>
      </c>
      <c r="H107" s="352">
        <v>53628.064898886892</v>
      </c>
      <c r="I107" s="353">
        <v>53628.064898886892</v>
      </c>
      <c r="J107" s="54">
        <v>0</v>
      </c>
      <c r="K107" s="54"/>
      <c r="L107" s="379">
        <f t="shared" si="42"/>
        <v>53628.064898886892</v>
      </c>
      <c r="M107" s="380">
        <f t="shared" si="46"/>
        <v>0</v>
      </c>
      <c r="N107" s="379">
        <f t="shared" si="44"/>
        <v>53628.064898886892</v>
      </c>
      <c r="O107" s="54">
        <f t="shared" si="47"/>
        <v>0</v>
      </c>
      <c r="P107" s="54">
        <f t="shared" si="48"/>
        <v>0</v>
      </c>
    </row>
    <row r="108" spans="1:16">
      <c r="B108" s="7" t="str">
        <f t="shared" si="41"/>
        <v/>
      </c>
      <c r="C108" s="50">
        <f>IF(D93="","-",+C107+1)</f>
        <v>2015</v>
      </c>
      <c r="D108" s="348">
        <v>324667</v>
      </c>
      <c r="E108" s="352">
        <v>7457</v>
      </c>
      <c r="F108" s="351">
        <v>317210</v>
      </c>
      <c r="G108" s="351">
        <v>320938.5</v>
      </c>
      <c r="H108" s="352">
        <v>51246.477852296055</v>
      </c>
      <c r="I108" s="353">
        <v>51246.477852296055</v>
      </c>
      <c r="J108" s="54">
        <f t="shared" si="39"/>
        <v>0</v>
      </c>
      <c r="K108" s="54"/>
      <c r="L108" s="379">
        <f t="shared" ref="L108:L113" si="49">H108</f>
        <v>51246.477852296055</v>
      </c>
      <c r="M108" s="380">
        <f t="shared" si="46"/>
        <v>0</v>
      </c>
      <c r="N108" s="379">
        <f t="shared" ref="N108:N113" si="50">I108</f>
        <v>51246.477852296055</v>
      </c>
      <c r="O108" s="54">
        <f t="shared" si="47"/>
        <v>0</v>
      </c>
      <c r="P108" s="54">
        <f t="shared" si="48"/>
        <v>0</v>
      </c>
    </row>
    <row r="109" spans="1:16">
      <c r="B109" s="7" t="str">
        <f t="shared" si="41"/>
        <v/>
      </c>
      <c r="C109" s="50">
        <f>IF(D93="","-",+C108+1)</f>
        <v>2016</v>
      </c>
      <c r="D109" s="348">
        <v>317210</v>
      </c>
      <c r="E109" s="352">
        <v>8429</v>
      </c>
      <c r="F109" s="351">
        <v>308781</v>
      </c>
      <c r="G109" s="351">
        <v>312995.5</v>
      </c>
      <c r="H109" s="352">
        <v>48779.04927680167</v>
      </c>
      <c r="I109" s="353">
        <v>48779.04927680167</v>
      </c>
      <c r="J109" s="54">
        <f t="shared" si="39"/>
        <v>0</v>
      </c>
      <c r="K109" s="54"/>
      <c r="L109" s="379">
        <f t="shared" si="49"/>
        <v>48779.04927680167</v>
      </c>
      <c r="M109" s="380">
        <f t="shared" si="46"/>
        <v>0</v>
      </c>
      <c r="N109" s="379">
        <f t="shared" si="50"/>
        <v>48779.04927680167</v>
      </c>
      <c r="O109" s="54">
        <f t="shared" si="47"/>
        <v>0</v>
      </c>
      <c r="P109" s="54">
        <f t="shared" si="48"/>
        <v>0</v>
      </c>
    </row>
    <row r="110" spans="1:16">
      <c r="B110" s="7" t="str">
        <f t="shared" si="41"/>
        <v/>
      </c>
      <c r="C110" s="50">
        <f>IF(D93="","-",+C109+1)</f>
        <v>2017</v>
      </c>
      <c r="D110" s="348">
        <v>308781</v>
      </c>
      <c r="E110" s="352">
        <v>8429</v>
      </c>
      <c r="F110" s="351">
        <v>300352</v>
      </c>
      <c r="G110" s="351">
        <v>304566.5</v>
      </c>
      <c r="H110" s="352">
        <v>47064.028489702585</v>
      </c>
      <c r="I110" s="353">
        <v>47064.028489702585</v>
      </c>
      <c r="J110" s="54">
        <f t="shared" si="39"/>
        <v>0</v>
      </c>
      <c r="K110" s="54"/>
      <c r="L110" s="379">
        <f t="shared" si="49"/>
        <v>47064.028489702585</v>
      </c>
      <c r="M110" s="380">
        <f t="shared" si="46"/>
        <v>0</v>
      </c>
      <c r="N110" s="379">
        <f t="shared" si="50"/>
        <v>47064.028489702585</v>
      </c>
      <c r="O110" s="54">
        <f t="shared" si="47"/>
        <v>0</v>
      </c>
      <c r="P110" s="54">
        <f t="shared" si="48"/>
        <v>0</v>
      </c>
    </row>
    <row r="111" spans="1:16">
      <c r="B111" s="7" t="str">
        <f t="shared" si="41"/>
        <v/>
      </c>
      <c r="C111" s="50">
        <f>IF(D93="","-",+C110+1)</f>
        <v>2018</v>
      </c>
      <c r="D111" s="348">
        <v>300352</v>
      </c>
      <c r="E111" s="352">
        <v>9017</v>
      </c>
      <c r="F111" s="351">
        <v>291335</v>
      </c>
      <c r="G111" s="351">
        <v>295843.5</v>
      </c>
      <c r="H111" s="352">
        <v>39410.649664559314</v>
      </c>
      <c r="I111" s="353">
        <v>39410.649664559314</v>
      </c>
      <c r="J111" s="54">
        <f t="shared" si="39"/>
        <v>0</v>
      </c>
      <c r="K111" s="54"/>
      <c r="L111" s="379">
        <f t="shared" si="49"/>
        <v>39410.649664559314</v>
      </c>
      <c r="M111" s="380">
        <f t="shared" ref="M111" si="51">IF(L111&lt;&gt;0,+H111-L111,0)</f>
        <v>0</v>
      </c>
      <c r="N111" s="379">
        <f t="shared" si="50"/>
        <v>39410.649664559314</v>
      </c>
      <c r="O111" s="54">
        <f t="shared" ref="O111" si="52">IF(N111&lt;&gt;0,+I111-N111,0)</f>
        <v>0</v>
      </c>
      <c r="P111" s="54">
        <f t="shared" ref="P111" si="53">+O111-M111</f>
        <v>0</v>
      </c>
    </row>
    <row r="112" spans="1:16">
      <c r="B112" s="7" t="str">
        <f t="shared" si="41"/>
        <v/>
      </c>
      <c r="C112" s="50">
        <f>IF(D93="","-",+C111+1)</f>
        <v>2019</v>
      </c>
      <c r="D112" s="348">
        <v>291335</v>
      </c>
      <c r="E112" s="352">
        <v>9457</v>
      </c>
      <c r="F112" s="351">
        <v>281878</v>
      </c>
      <c r="G112" s="351">
        <v>286606.5</v>
      </c>
      <c r="H112" s="352">
        <v>39010.150115878176</v>
      </c>
      <c r="I112" s="353">
        <v>39010.150115878176</v>
      </c>
      <c r="J112" s="54">
        <f t="shared" si="39"/>
        <v>0</v>
      </c>
      <c r="K112" s="54"/>
      <c r="L112" s="379">
        <f t="shared" si="49"/>
        <v>39010.150115878176</v>
      </c>
      <c r="M112" s="380">
        <f t="shared" ref="M112" si="54">IF(L112&lt;&gt;0,+H112-L112,0)</f>
        <v>0</v>
      </c>
      <c r="N112" s="379">
        <f t="shared" si="50"/>
        <v>39010.150115878176</v>
      </c>
      <c r="O112" s="54">
        <f t="shared" si="45"/>
        <v>0</v>
      </c>
      <c r="P112" s="54">
        <f t="shared" si="40"/>
        <v>0</v>
      </c>
    </row>
    <row r="113" spans="2:16">
      <c r="B113" s="7" t="str">
        <f t="shared" si="41"/>
        <v/>
      </c>
      <c r="C113" s="50">
        <f>IF(D93="","-",+C112+1)</f>
        <v>2020</v>
      </c>
      <c r="D113" s="348">
        <v>281878</v>
      </c>
      <c r="E113" s="352">
        <v>9017</v>
      </c>
      <c r="F113" s="351">
        <v>272861</v>
      </c>
      <c r="G113" s="351">
        <v>277369.5</v>
      </c>
      <c r="H113" s="352">
        <v>40996.940785437022</v>
      </c>
      <c r="I113" s="353">
        <v>40996.940785437022</v>
      </c>
      <c r="J113" s="54">
        <f t="shared" si="39"/>
        <v>0</v>
      </c>
      <c r="K113" s="54"/>
      <c r="L113" s="379">
        <f t="shared" si="49"/>
        <v>40996.940785437022</v>
      </c>
      <c r="M113" s="380">
        <f t="shared" ref="M113" si="55">IF(L113&lt;&gt;0,+H113-L113,0)</f>
        <v>0</v>
      </c>
      <c r="N113" s="379">
        <f t="shared" si="50"/>
        <v>40996.940785437022</v>
      </c>
      <c r="O113" s="54">
        <f t="shared" si="45"/>
        <v>0</v>
      </c>
      <c r="P113" s="54">
        <f t="shared" si="40"/>
        <v>0</v>
      </c>
    </row>
    <row r="114" spans="2:16">
      <c r="B114" s="7" t="str">
        <f t="shared" si="41"/>
        <v/>
      </c>
      <c r="C114" s="50">
        <f>IF(D93="","-",+C113+1)</f>
        <v>2021</v>
      </c>
      <c r="D114" s="348">
        <v>272861</v>
      </c>
      <c r="E114" s="352">
        <v>9457</v>
      </c>
      <c r="F114" s="351">
        <v>263404</v>
      </c>
      <c r="G114" s="351">
        <v>268132.5</v>
      </c>
      <c r="H114" s="352">
        <v>39968.546077508974</v>
      </c>
      <c r="I114" s="353">
        <v>39968.546077508974</v>
      </c>
      <c r="J114" s="54">
        <f t="shared" si="39"/>
        <v>0</v>
      </c>
      <c r="K114" s="54"/>
      <c r="L114" s="379">
        <f t="shared" ref="L114" si="56">H114</f>
        <v>39968.546077508974</v>
      </c>
      <c r="M114" s="380">
        <f t="shared" ref="M114" si="57">IF(L114&lt;&gt;0,+H114-L114,0)</f>
        <v>0</v>
      </c>
      <c r="N114" s="379">
        <f t="shared" ref="N114" si="58">I114</f>
        <v>39968.546077508974</v>
      </c>
      <c r="O114" s="54">
        <f t="shared" si="45"/>
        <v>0</v>
      </c>
      <c r="P114" s="54">
        <f t="shared" si="40"/>
        <v>0</v>
      </c>
    </row>
    <row r="115" spans="2:16">
      <c r="B115" s="7" t="str">
        <f t="shared" si="41"/>
        <v/>
      </c>
      <c r="C115" s="50">
        <f>IF(D93="","-",+C114+1)</f>
        <v>2022</v>
      </c>
      <c r="D115" s="348">
        <v>263404</v>
      </c>
      <c r="E115" s="352">
        <v>9942</v>
      </c>
      <c r="F115" s="351">
        <v>253462</v>
      </c>
      <c r="G115" s="351">
        <v>258433</v>
      </c>
      <c r="H115" s="352">
        <v>38416.833530612799</v>
      </c>
      <c r="I115" s="353">
        <v>38416.833530612799</v>
      </c>
      <c r="J115" s="54">
        <f t="shared" si="39"/>
        <v>0</v>
      </c>
      <c r="K115" s="54"/>
      <c r="L115" s="379">
        <f t="shared" ref="L115" si="59">H115</f>
        <v>38416.833530612799</v>
      </c>
      <c r="M115" s="380">
        <f t="shared" ref="M115" si="60">IF(L115&lt;&gt;0,+H115-L115,0)</f>
        <v>0</v>
      </c>
      <c r="N115" s="379">
        <f t="shared" ref="N115" si="61">I115</f>
        <v>38416.833530612799</v>
      </c>
      <c r="O115" s="54">
        <f t="shared" ref="O115" si="62">IF(N115&lt;&gt;0,+I115-N115,0)</f>
        <v>0</v>
      </c>
      <c r="P115" s="54">
        <f t="shared" ref="P115" si="63">+O115-M115</f>
        <v>0</v>
      </c>
    </row>
    <row r="116" spans="2:16">
      <c r="B116" s="7" t="str">
        <f t="shared" si="41"/>
        <v/>
      </c>
      <c r="C116" s="50">
        <f>IF(D93="","-",+C115+1)</f>
        <v>2023</v>
      </c>
      <c r="D116" s="348">
        <v>253462</v>
      </c>
      <c r="E116" s="352">
        <v>10204</v>
      </c>
      <c r="F116" s="351">
        <v>243258</v>
      </c>
      <c r="G116" s="351">
        <v>248360</v>
      </c>
      <c r="H116" s="352">
        <v>38573.430896853468</v>
      </c>
      <c r="I116" s="353">
        <v>38573.430896853468</v>
      </c>
      <c r="J116" s="54">
        <f t="shared" si="39"/>
        <v>0</v>
      </c>
      <c r="K116" s="54"/>
      <c r="L116" s="379">
        <f t="shared" ref="L116" si="64">H116</f>
        <v>38573.430896853468</v>
      </c>
      <c r="M116" s="380">
        <f t="shared" ref="M116" si="65">IF(L116&lt;&gt;0,+H116-L116,0)</f>
        <v>0</v>
      </c>
      <c r="N116" s="379">
        <f t="shared" ref="N116" si="66">I116</f>
        <v>38573.430896853468</v>
      </c>
      <c r="O116" s="54">
        <f t="shared" ref="O116" si="67">IF(N116&lt;&gt;0,+I116-N116,0)</f>
        <v>0</v>
      </c>
      <c r="P116" s="54">
        <f t="shared" ref="P116" si="68">+O116-M116</f>
        <v>0</v>
      </c>
    </row>
    <row r="117" spans="2:16">
      <c r="B117" s="7" t="str">
        <f t="shared" si="41"/>
        <v/>
      </c>
      <c r="C117" s="50">
        <f>IF(D93="","-",+C116+1)</f>
        <v>2024</v>
      </c>
      <c r="D117" s="348">
        <v>243258</v>
      </c>
      <c r="E117" s="352">
        <v>10480</v>
      </c>
      <c r="F117" s="351">
        <v>232778</v>
      </c>
      <c r="G117" s="351">
        <v>238018</v>
      </c>
      <c r="H117" s="352">
        <v>42450.270659029418</v>
      </c>
      <c r="I117" s="353">
        <v>42450.270659029418</v>
      </c>
      <c r="J117" s="54">
        <f t="shared" si="39"/>
        <v>0</v>
      </c>
      <c r="K117" s="54"/>
      <c r="L117" s="379">
        <f t="shared" ref="L117" si="69">H117</f>
        <v>42450.270659029418</v>
      </c>
      <c r="M117" s="380">
        <f t="shared" ref="M117" si="70">IF(L117&lt;&gt;0,+H117-L117,0)</f>
        <v>0</v>
      </c>
      <c r="N117" s="379">
        <f t="shared" ref="N117" si="71">I117</f>
        <v>42450.270659029418</v>
      </c>
      <c r="O117" s="54">
        <f t="shared" si="45"/>
        <v>0</v>
      </c>
      <c r="P117" s="54">
        <f t="shared" si="40"/>
        <v>0</v>
      </c>
    </row>
    <row r="118" spans="2:16">
      <c r="B118" s="7" t="str">
        <f t="shared" si="41"/>
        <v/>
      </c>
      <c r="C118" s="50">
        <f>IF(D93="","-",+C117+1)</f>
        <v>2025</v>
      </c>
      <c r="D118" s="12">
        <f>IF(F117+SUM(E$99:E117)=D$92,F117,D$92-SUM(E$99:E117))</f>
        <v>232778</v>
      </c>
      <c r="E118" s="355">
        <f>IF(+J96&lt;F117,J96,D118)</f>
        <v>10480</v>
      </c>
      <c r="F118" s="55">
        <f t="shared" ref="F118:F130" si="72">+D118-E118</f>
        <v>222298</v>
      </c>
      <c r="G118" s="55">
        <f t="shared" ref="G118:G130" si="73">+(F118+D118)/2</f>
        <v>227538</v>
      </c>
      <c r="H118" s="355">
        <f t="shared" ref="H118:H153" si="74">(D118+F118)/2*J$94+E118</f>
        <v>37698.342818516052</v>
      </c>
      <c r="I118" s="381">
        <f t="shared" ref="I118:I153" si="75">+J$95*G118+E118</f>
        <v>37698.342818516052</v>
      </c>
      <c r="J118" s="54">
        <f t="shared" si="39"/>
        <v>0</v>
      </c>
      <c r="K118" s="54"/>
      <c r="L118" s="115"/>
      <c r="M118" s="54">
        <f t="shared" si="43"/>
        <v>0</v>
      </c>
      <c r="N118" s="115"/>
      <c r="O118" s="54">
        <f t="shared" si="45"/>
        <v>0</v>
      </c>
      <c r="P118" s="54">
        <f t="shared" si="40"/>
        <v>0</v>
      </c>
    </row>
    <row r="119" spans="2:16">
      <c r="B119" s="7" t="str">
        <f t="shared" si="41"/>
        <v/>
      </c>
      <c r="C119" s="50">
        <f>IF(D93="","-",+C118+1)</f>
        <v>2026</v>
      </c>
      <c r="D119" s="12">
        <f>IF(F118+SUM(E$99:E118)=D$92,F118,D$92-SUM(E$99:E118))</f>
        <v>222298</v>
      </c>
      <c r="E119" s="355">
        <f>IF(+J96&lt;F118,J96,D119)</f>
        <v>10480</v>
      </c>
      <c r="F119" s="55">
        <f t="shared" si="72"/>
        <v>211818</v>
      </c>
      <c r="G119" s="55">
        <f t="shared" si="73"/>
        <v>217058</v>
      </c>
      <c r="H119" s="355">
        <f t="shared" si="74"/>
        <v>36444.713830223773</v>
      </c>
      <c r="I119" s="381">
        <f t="shared" si="75"/>
        <v>36444.713830223773</v>
      </c>
      <c r="J119" s="54">
        <f t="shared" si="39"/>
        <v>0</v>
      </c>
      <c r="K119" s="54"/>
      <c r="L119" s="115"/>
      <c r="M119" s="54">
        <f t="shared" si="43"/>
        <v>0</v>
      </c>
      <c r="N119" s="115"/>
      <c r="O119" s="54">
        <f t="shared" si="45"/>
        <v>0</v>
      </c>
      <c r="P119" s="54">
        <f t="shared" si="40"/>
        <v>0</v>
      </c>
    </row>
    <row r="120" spans="2:16">
      <c r="B120" s="7" t="str">
        <f t="shared" si="41"/>
        <v/>
      </c>
      <c r="C120" s="50">
        <f>IF(D93="","-",+C119+1)</f>
        <v>2027</v>
      </c>
      <c r="D120" s="12">
        <f>IF(F119+SUM(E$99:E119)=D$92,F119,D$92-SUM(E$99:E119))</f>
        <v>211818</v>
      </c>
      <c r="E120" s="355">
        <f>IF(+J96&lt;F119,J96,D120)</f>
        <v>10480</v>
      </c>
      <c r="F120" s="55">
        <f t="shared" si="72"/>
        <v>201338</v>
      </c>
      <c r="G120" s="55">
        <f t="shared" si="73"/>
        <v>206578</v>
      </c>
      <c r="H120" s="355">
        <f t="shared" si="74"/>
        <v>35191.084841931501</v>
      </c>
      <c r="I120" s="381">
        <f t="shared" si="75"/>
        <v>35191.084841931501</v>
      </c>
      <c r="J120" s="54">
        <f t="shared" si="39"/>
        <v>0</v>
      </c>
      <c r="K120" s="54"/>
      <c r="L120" s="115"/>
      <c r="M120" s="54">
        <f t="shared" si="43"/>
        <v>0</v>
      </c>
      <c r="N120" s="115"/>
      <c r="O120" s="54">
        <f t="shared" si="45"/>
        <v>0</v>
      </c>
      <c r="P120" s="54">
        <f t="shared" si="40"/>
        <v>0</v>
      </c>
    </row>
    <row r="121" spans="2:16">
      <c r="B121" s="7" t="str">
        <f t="shared" si="41"/>
        <v/>
      </c>
      <c r="C121" s="50">
        <f>IF(D93="","-",+C120+1)</f>
        <v>2028</v>
      </c>
      <c r="D121" s="12">
        <f>IF(F120+SUM(E$99:E120)=D$92,F120,D$92-SUM(E$99:E120))</f>
        <v>201338</v>
      </c>
      <c r="E121" s="355">
        <f>IF(+J96&lt;F120,J96,D121)</f>
        <v>10480</v>
      </c>
      <c r="F121" s="55">
        <f t="shared" si="72"/>
        <v>190858</v>
      </c>
      <c r="G121" s="55">
        <f t="shared" si="73"/>
        <v>196098</v>
      </c>
      <c r="H121" s="355">
        <f t="shared" si="74"/>
        <v>33937.455853639214</v>
      </c>
      <c r="I121" s="381">
        <f t="shared" si="75"/>
        <v>33937.455853639214</v>
      </c>
      <c r="J121" s="54">
        <f t="shared" si="39"/>
        <v>0</v>
      </c>
      <c r="K121" s="54"/>
      <c r="L121" s="115"/>
      <c r="M121" s="54">
        <f t="shared" si="43"/>
        <v>0</v>
      </c>
      <c r="N121" s="115"/>
      <c r="O121" s="54">
        <f t="shared" si="45"/>
        <v>0</v>
      </c>
      <c r="P121" s="54">
        <f t="shared" si="40"/>
        <v>0</v>
      </c>
    </row>
    <row r="122" spans="2:16">
      <c r="B122" s="7" t="str">
        <f t="shared" si="41"/>
        <v/>
      </c>
      <c r="C122" s="50">
        <f>IF(D93="","-",+C121+1)</f>
        <v>2029</v>
      </c>
      <c r="D122" s="12">
        <f>IF(F121+SUM(E$99:E121)=D$92,F121,D$92-SUM(E$99:E121))</f>
        <v>190858</v>
      </c>
      <c r="E122" s="355">
        <f>IF(+J96&lt;F121,J96,D122)</f>
        <v>10480</v>
      </c>
      <c r="F122" s="55">
        <f t="shared" si="72"/>
        <v>180378</v>
      </c>
      <c r="G122" s="55">
        <f t="shared" si="73"/>
        <v>185618</v>
      </c>
      <c r="H122" s="355">
        <f t="shared" si="74"/>
        <v>32683.826865346942</v>
      </c>
      <c r="I122" s="381">
        <f t="shared" si="75"/>
        <v>32683.826865346942</v>
      </c>
      <c r="J122" s="54">
        <f t="shared" si="39"/>
        <v>0</v>
      </c>
      <c r="K122" s="54"/>
      <c r="L122" s="115"/>
      <c r="M122" s="54">
        <f t="shared" si="43"/>
        <v>0</v>
      </c>
      <c r="N122" s="115"/>
      <c r="O122" s="54">
        <f t="shared" si="45"/>
        <v>0</v>
      </c>
      <c r="P122" s="54">
        <f t="shared" si="40"/>
        <v>0</v>
      </c>
    </row>
    <row r="123" spans="2:16">
      <c r="B123" s="7" t="str">
        <f t="shared" si="41"/>
        <v/>
      </c>
      <c r="C123" s="50">
        <f>IF(D93="","-",+C122+1)</f>
        <v>2030</v>
      </c>
      <c r="D123" s="12">
        <f>IF(F122+SUM(E$99:E122)=D$92,F122,D$92-SUM(E$99:E122))</f>
        <v>180378</v>
      </c>
      <c r="E123" s="355">
        <f>IF(+J96&lt;F122,J96,D123)</f>
        <v>10480</v>
      </c>
      <c r="F123" s="55">
        <f t="shared" si="72"/>
        <v>169898</v>
      </c>
      <c r="G123" s="55">
        <f t="shared" si="73"/>
        <v>175138</v>
      </c>
      <c r="H123" s="355">
        <f t="shared" si="74"/>
        <v>31430.197877054663</v>
      </c>
      <c r="I123" s="381">
        <f t="shared" si="75"/>
        <v>31430.197877054663</v>
      </c>
      <c r="J123" s="54">
        <f t="shared" si="39"/>
        <v>0</v>
      </c>
      <c r="K123" s="54"/>
      <c r="L123" s="115"/>
      <c r="M123" s="54">
        <f t="shared" si="43"/>
        <v>0</v>
      </c>
      <c r="N123" s="115"/>
      <c r="O123" s="54">
        <f t="shared" si="45"/>
        <v>0</v>
      </c>
      <c r="P123" s="54">
        <f t="shared" si="40"/>
        <v>0</v>
      </c>
    </row>
    <row r="124" spans="2:16">
      <c r="B124" s="7" t="str">
        <f t="shared" si="41"/>
        <v/>
      </c>
      <c r="C124" s="50">
        <f>IF(D93="","-",+C123+1)</f>
        <v>2031</v>
      </c>
      <c r="D124" s="12">
        <f>IF(F123+SUM(E$99:E123)=D$92,F123,D$92-SUM(E$99:E123))</f>
        <v>169898</v>
      </c>
      <c r="E124" s="355">
        <f>IF(+J96&lt;F123,J96,D124)</f>
        <v>10480</v>
      </c>
      <c r="F124" s="55">
        <f t="shared" si="72"/>
        <v>159418</v>
      </c>
      <c r="G124" s="55">
        <f t="shared" si="73"/>
        <v>164658</v>
      </c>
      <c r="H124" s="355">
        <f t="shared" si="74"/>
        <v>30176.568888762387</v>
      </c>
      <c r="I124" s="381">
        <f t="shared" si="75"/>
        <v>30176.568888762387</v>
      </c>
      <c r="J124" s="54">
        <f t="shared" si="39"/>
        <v>0</v>
      </c>
      <c r="K124" s="54"/>
      <c r="L124" s="115"/>
      <c r="M124" s="54">
        <f t="shared" si="43"/>
        <v>0</v>
      </c>
      <c r="N124" s="115"/>
      <c r="O124" s="54">
        <f t="shared" si="45"/>
        <v>0</v>
      </c>
      <c r="P124" s="54">
        <f t="shared" si="40"/>
        <v>0</v>
      </c>
    </row>
    <row r="125" spans="2:16">
      <c r="B125" s="7" t="str">
        <f t="shared" si="41"/>
        <v/>
      </c>
      <c r="C125" s="50">
        <f>IF(D93="","-",+C124+1)</f>
        <v>2032</v>
      </c>
      <c r="D125" s="12">
        <f>IF(F124+SUM(E$99:E124)=D$92,F124,D$92-SUM(E$99:E124))</f>
        <v>159418</v>
      </c>
      <c r="E125" s="355">
        <f>IF(+J96&lt;F124,J96,D125)</f>
        <v>10480</v>
      </c>
      <c r="F125" s="55">
        <f t="shared" si="72"/>
        <v>148938</v>
      </c>
      <c r="G125" s="55">
        <f t="shared" si="73"/>
        <v>154178</v>
      </c>
      <c r="H125" s="355">
        <f t="shared" si="74"/>
        <v>28922.939900470108</v>
      </c>
      <c r="I125" s="381">
        <f t="shared" si="75"/>
        <v>28922.939900470108</v>
      </c>
      <c r="J125" s="54">
        <f t="shared" si="39"/>
        <v>0</v>
      </c>
      <c r="K125" s="54"/>
      <c r="L125" s="115"/>
      <c r="M125" s="54">
        <f t="shared" si="43"/>
        <v>0</v>
      </c>
      <c r="N125" s="115"/>
      <c r="O125" s="54">
        <f t="shared" si="45"/>
        <v>0</v>
      </c>
      <c r="P125" s="54">
        <f t="shared" si="40"/>
        <v>0</v>
      </c>
    </row>
    <row r="126" spans="2:16">
      <c r="B126" s="7" t="str">
        <f t="shared" si="41"/>
        <v/>
      </c>
      <c r="C126" s="50">
        <f>IF(D93="","-",+C125+1)</f>
        <v>2033</v>
      </c>
      <c r="D126" s="12">
        <f>IF(F125+SUM(E$99:E125)=D$92,F125,D$92-SUM(E$99:E125))</f>
        <v>148938</v>
      </c>
      <c r="E126" s="355">
        <f>IF(+J96&lt;F125,J96,D126)</f>
        <v>10480</v>
      </c>
      <c r="F126" s="55">
        <f t="shared" si="72"/>
        <v>138458</v>
      </c>
      <c r="G126" s="55">
        <f t="shared" si="73"/>
        <v>143698</v>
      </c>
      <c r="H126" s="355">
        <f t="shared" si="74"/>
        <v>27669.310912177833</v>
      </c>
      <c r="I126" s="381">
        <f t="shared" si="75"/>
        <v>27669.310912177833</v>
      </c>
      <c r="J126" s="54">
        <f t="shared" si="39"/>
        <v>0</v>
      </c>
      <c r="K126" s="54"/>
      <c r="L126" s="115"/>
      <c r="M126" s="54">
        <f t="shared" si="43"/>
        <v>0</v>
      </c>
      <c r="N126" s="115"/>
      <c r="O126" s="54">
        <f t="shared" si="45"/>
        <v>0</v>
      </c>
      <c r="P126" s="54">
        <f t="shared" si="40"/>
        <v>0</v>
      </c>
    </row>
    <row r="127" spans="2:16">
      <c r="B127" s="7" t="str">
        <f t="shared" si="41"/>
        <v/>
      </c>
      <c r="C127" s="50">
        <f>IF(D93="","-",+C126+1)</f>
        <v>2034</v>
      </c>
      <c r="D127" s="12">
        <f>IF(F126+SUM(E$99:E126)=D$92,F126,D$92-SUM(E$99:E126))</f>
        <v>138458</v>
      </c>
      <c r="E127" s="355">
        <f>IF(+J96&lt;F126,J96,D127)</f>
        <v>10480</v>
      </c>
      <c r="F127" s="55">
        <f t="shared" si="72"/>
        <v>127978</v>
      </c>
      <c r="G127" s="55">
        <f t="shared" si="73"/>
        <v>133218</v>
      </c>
      <c r="H127" s="355">
        <f t="shared" si="74"/>
        <v>26415.681923885553</v>
      </c>
      <c r="I127" s="381">
        <f t="shared" si="75"/>
        <v>26415.681923885553</v>
      </c>
      <c r="J127" s="54">
        <f t="shared" si="39"/>
        <v>0</v>
      </c>
      <c r="K127" s="54"/>
      <c r="L127" s="115"/>
      <c r="M127" s="54">
        <f t="shared" si="43"/>
        <v>0</v>
      </c>
      <c r="N127" s="115"/>
      <c r="O127" s="54">
        <f t="shared" si="45"/>
        <v>0</v>
      </c>
      <c r="P127" s="54">
        <f t="shared" si="40"/>
        <v>0</v>
      </c>
    </row>
    <row r="128" spans="2:16">
      <c r="B128" s="7" t="str">
        <f t="shared" si="41"/>
        <v/>
      </c>
      <c r="C128" s="50">
        <f>IF(D93="","-",+C127+1)</f>
        <v>2035</v>
      </c>
      <c r="D128" s="12">
        <f>IF(F127+SUM(E$99:E127)=D$92,F127,D$92-SUM(E$99:E127))</f>
        <v>127978</v>
      </c>
      <c r="E128" s="355">
        <f>IF(+J96&lt;F127,J96,D128)</f>
        <v>10480</v>
      </c>
      <c r="F128" s="55">
        <f t="shared" si="72"/>
        <v>117498</v>
      </c>
      <c r="G128" s="55">
        <f t="shared" si="73"/>
        <v>122738</v>
      </c>
      <c r="H128" s="355">
        <f t="shared" si="74"/>
        <v>25162.052935593274</v>
      </c>
      <c r="I128" s="381">
        <f t="shared" si="75"/>
        <v>25162.052935593274</v>
      </c>
      <c r="J128" s="54">
        <f t="shared" si="39"/>
        <v>0</v>
      </c>
      <c r="K128" s="54"/>
      <c r="L128" s="115"/>
      <c r="M128" s="54">
        <f t="shared" si="43"/>
        <v>0</v>
      </c>
      <c r="N128" s="115"/>
      <c r="O128" s="54">
        <f t="shared" si="45"/>
        <v>0</v>
      </c>
      <c r="P128" s="54">
        <f t="shared" si="40"/>
        <v>0</v>
      </c>
    </row>
    <row r="129" spans="2:16">
      <c r="B129" s="7" t="str">
        <f t="shared" si="41"/>
        <v/>
      </c>
      <c r="C129" s="50">
        <f>IF(D93="","-",+C128+1)</f>
        <v>2036</v>
      </c>
      <c r="D129" s="12">
        <f>IF(F128+SUM(E$99:E128)=D$92,F128,D$92-SUM(E$99:E128))</f>
        <v>117498</v>
      </c>
      <c r="E129" s="355">
        <f>IF(+J96&lt;F128,J96,D129)</f>
        <v>10480</v>
      </c>
      <c r="F129" s="55">
        <f t="shared" si="72"/>
        <v>107018</v>
      </c>
      <c r="G129" s="55">
        <f t="shared" si="73"/>
        <v>112258</v>
      </c>
      <c r="H129" s="355">
        <f t="shared" si="74"/>
        <v>23908.423947300998</v>
      </c>
      <c r="I129" s="381">
        <f t="shared" si="75"/>
        <v>23908.423947300998</v>
      </c>
      <c r="J129" s="54">
        <f t="shared" si="39"/>
        <v>0</v>
      </c>
      <c r="K129" s="54"/>
      <c r="L129" s="115"/>
      <c r="M129" s="54">
        <f t="shared" si="43"/>
        <v>0</v>
      </c>
      <c r="N129" s="115"/>
      <c r="O129" s="54">
        <f t="shared" si="45"/>
        <v>0</v>
      </c>
      <c r="P129" s="54">
        <f t="shared" si="40"/>
        <v>0</v>
      </c>
    </row>
    <row r="130" spans="2:16">
      <c r="B130" s="7" t="str">
        <f t="shared" si="41"/>
        <v/>
      </c>
      <c r="C130" s="50">
        <f>IF(D93="","-",+C129+1)</f>
        <v>2037</v>
      </c>
      <c r="D130" s="12">
        <f>IF(F129+SUM(E$99:E129)=D$92,F129,D$92-SUM(E$99:E129))</f>
        <v>107018</v>
      </c>
      <c r="E130" s="355">
        <f>IF(+J96&lt;F129,J96,D130)</f>
        <v>10480</v>
      </c>
      <c r="F130" s="55">
        <f t="shared" si="72"/>
        <v>96538</v>
      </c>
      <c r="G130" s="55">
        <f t="shared" si="73"/>
        <v>101778</v>
      </c>
      <c r="H130" s="355">
        <f t="shared" si="74"/>
        <v>22654.794959008723</v>
      </c>
      <c r="I130" s="381">
        <f t="shared" si="75"/>
        <v>22654.794959008723</v>
      </c>
      <c r="J130" s="54">
        <f t="shared" si="39"/>
        <v>0</v>
      </c>
      <c r="K130" s="54"/>
      <c r="L130" s="115"/>
      <c r="M130" s="54">
        <f t="shared" si="43"/>
        <v>0</v>
      </c>
      <c r="N130" s="115"/>
      <c r="O130" s="54">
        <f t="shared" si="45"/>
        <v>0</v>
      </c>
      <c r="P130" s="54">
        <f t="shared" si="40"/>
        <v>0</v>
      </c>
    </row>
    <row r="131" spans="2:16">
      <c r="B131" s="7" t="str">
        <f t="shared" si="41"/>
        <v/>
      </c>
      <c r="C131" s="50">
        <f>IF(D93="","-",+C130+1)</f>
        <v>2038</v>
      </c>
      <c r="D131" s="12">
        <f>IF(F130+SUM(E$99:E130)=D$92,F130,D$92-SUM(E$99:E130))</f>
        <v>96538</v>
      </c>
      <c r="E131" s="355">
        <f>IF(+J96&lt;F130,J96,D131)</f>
        <v>10480</v>
      </c>
      <c r="F131" s="55">
        <f t="shared" ref="F131:F154" si="76">+D131-E131</f>
        <v>86058</v>
      </c>
      <c r="G131" s="55">
        <f t="shared" ref="G131:G154" si="77">+(F131+D131)/2</f>
        <v>91298</v>
      </c>
      <c r="H131" s="355">
        <f t="shared" si="74"/>
        <v>21401.165970716444</v>
      </c>
      <c r="I131" s="381">
        <f t="shared" si="75"/>
        <v>21401.165970716444</v>
      </c>
      <c r="J131" s="54">
        <f t="shared" ref="J131:J154" si="78">+I131-H131</f>
        <v>0</v>
      </c>
      <c r="K131" s="54"/>
      <c r="L131" s="115"/>
      <c r="M131" s="54">
        <f t="shared" si="43"/>
        <v>0</v>
      </c>
      <c r="N131" s="115"/>
      <c r="O131" s="54">
        <f t="shared" si="45"/>
        <v>0</v>
      </c>
      <c r="P131" s="54">
        <f t="shared" ref="P131:P154" si="79">+O131-M131</f>
        <v>0</v>
      </c>
    </row>
    <row r="132" spans="2:16">
      <c r="B132" s="7" t="str">
        <f t="shared" si="41"/>
        <v/>
      </c>
      <c r="C132" s="50">
        <f>IF(D93="","-",+C131+1)</f>
        <v>2039</v>
      </c>
      <c r="D132" s="12">
        <f>IF(F131+SUM(E$99:E131)=D$92,F131,D$92-SUM(E$99:E131))</f>
        <v>86058</v>
      </c>
      <c r="E132" s="355">
        <f>IF(+J96&lt;F131,J96,D132)</f>
        <v>10480</v>
      </c>
      <c r="F132" s="55">
        <f t="shared" si="76"/>
        <v>75578</v>
      </c>
      <c r="G132" s="55">
        <f t="shared" si="77"/>
        <v>80818</v>
      </c>
      <c r="H132" s="355">
        <f t="shared" si="74"/>
        <v>20147.536982424168</v>
      </c>
      <c r="I132" s="381">
        <f t="shared" si="75"/>
        <v>20147.536982424168</v>
      </c>
      <c r="J132" s="54">
        <f t="shared" si="78"/>
        <v>0</v>
      </c>
      <c r="K132" s="54"/>
      <c r="L132" s="115"/>
      <c r="M132" s="54">
        <f t="shared" si="43"/>
        <v>0</v>
      </c>
      <c r="N132" s="115"/>
      <c r="O132" s="54">
        <f t="shared" si="45"/>
        <v>0</v>
      </c>
      <c r="P132" s="54">
        <f t="shared" si="79"/>
        <v>0</v>
      </c>
    </row>
    <row r="133" spans="2:16">
      <c r="B133" s="7" t="str">
        <f t="shared" si="41"/>
        <v/>
      </c>
      <c r="C133" s="50">
        <f>IF(D93="","-",+C132+1)</f>
        <v>2040</v>
      </c>
      <c r="D133" s="12">
        <f>IF(F132+SUM(E$99:E132)=D$92,F132,D$92-SUM(E$99:E132))</f>
        <v>75578</v>
      </c>
      <c r="E133" s="355">
        <f>IF(+J96&lt;F132,J96,D133)</f>
        <v>10480</v>
      </c>
      <c r="F133" s="55">
        <f t="shared" si="76"/>
        <v>65098</v>
      </c>
      <c r="G133" s="55">
        <f t="shared" si="77"/>
        <v>70338</v>
      </c>
      <c r="H133" s="355">
        <f t="shared" si="74"/>
        <v>18893.907994131892</v>
      </c>
      <c r="I133" s="381">
        <f t="shared" si="75"/>
        <v>18893.907994131892</v>
      </c>
      <c r="J133" s="54">
        <f t="shared" si="78"/>
        <v>0</v>
      </c>
      <c r="K133" s="54"/>
      <c r="L133" s="115"/>
      <c r="M133" s="54">
        <f t="shared" si="43"/>
        <v>0</v>
      </c>
      <c r="N133" s="115"/>
      <c r="O133" s="54">
        <f t="shared" si="45"/>
        <v>0</v>
      </c>
      <c r="P133" s="54">
        <f t="shared" si="79"/>
        <v>0</v>
      </c>
    </row>
    <row r="134" spans="2:16">
      <c r="B134" s="7" t="str">
        <f t="shared" si="41"/>
        <v/>
      </c>
      <c r="C134" s="50">
        <f>IF(D93="","-",+C133+1)</f>
        <v>2041</v>
      </c>
      <c r="D134" s="12">
        <f>IF(F133+SUM(E$99:E133)=D$92,F133,D$92-SUM(E$99:E133))</f>
        <v>65098</v>
      </c>
      <c r="E134" s="355">
        <f>IF(+J96&lt;F133,J96,D134)</f>
        <v>10480</v>
      </c>
      <c r="F134" s="55">
        <f t="shared" si="76"/>
        <v>54618</v>
      </c>
      <c r="G134" s="55">
        <f t="shared" si="77"/>
        <v>59858</v>
      </c>
      <c r="H134" s="355">
        <f t="shared" si="74"/>
        <v>17640.279005839613</v>
      </c>
      <c r="I134" s="381">
        <f t="shared" si="75"/>
        <v>17640.279005839613</v>
      </c>
      <c r="J134" s="54">
        <f t="shared" si="78"/>
        <v>0</v>
      </c>
      <c r="K134" s="54"/>
      <c r="L134" s="115"/>
      <c r="M134" s="54">
        <f t="shared" ref="M134:M154" si="80">IF(L134&lt;&gt;0,+H134-L134,0)</f>
        <v>0</v>
      </c>
      <c r="N134" s="115"/>
      <c r="O134" s="54">
        <f t="shared" ref="O134:O154" si="81">IF(N134&lt;&gt;0,+I134-N134,0)</f>
        <v>0</v>
      </c>
      <c r="P134" s="54">
        <f t="shared" si="79"/>
        <v>0</v>
      </c>
    </row>
    <row r="135" spans="2:16">
      <c r="B135" s="7" t="str">
        <f t="shared" si="41"/>
        <v/>
      </c>
      <c r="C135" s="50">
        <f>IF(D93="","-",+C134+1)</f>
        <v>2042</v>
      </c>
      <c r="D135" s="12">
        <f>IF(F134+SUM(E$99:E134)=D$92,F134,D$92-SUM(E$99:E134))</f>
        <v>54618</v>
      </c>
      <c r="E135" s="355">
        <f>IF(+J96&lt;F134,J96,D135)</f>
        <v>10480</v>
      </c>
      <c r="F135" s="55">
        <f t="shared" si="76"/>
        <v>44138</v>
      </c>
      <c r="G135" s="55">
        <f t="shared" si="77"/>
        <v>49378</v>
      </c>
      <c r="H135" s="355">
        <f t="shared" si="74"/>
        <v>16386.650017547334</v>
      </c>
      <c r="I135" s="381">
        <f t="shared" si="75"/>
        <v>16386.650017547334</v>
      </c>
      <c r="J135" s="54">
        <f t="shared" si="78"/>
        <v>0</v>
      </c>
      <c r="K135" s="54"/>
      <c r="L135" s="115"/>
      <c r="M135" s="54">
        <f t="shared" si="80"/>
        <v>0</v>
      </c>
      <c r="N135" s="115"/>
      <c r="O135" s="54">
        <f t="shared" si="81"/>
        <v>0</v>
      </c>
      <c r="P135" s="54">
        <f t="shared" si="79"/>
        <v>0</v>
      </c>
    </row>
    <row r="136" spans="2:16">
      <c r="B136" s="7" t="str">
        <f t="shared" si="41"/>
        <v/>
      </c>
      <c r="C136" s="50">
        <f>IF(D93="","-",+C135+1)</f>
        <v>2043</v>
      </c>
      <c r="D136" s="12">
        <f>IF(F135+SUM(E$99:E135)=D$92,F135,D$92-SUM(E$99:E135))</f>
        <v>44138</v>
      </c>
      <c r="E136" s="355">
        <f>IF(+J96&lt;F135,J96,D136)</f>
        <v>10480</v>
      </c>
      <c r="F136" s="55">
        <f t="shared" si="76"/>
        <v>33658</v>
      </c>
      <c r="G136" s="55">
        <f t="shared" si="77"/>
        <v>38898</v>
      </c>
      <c r="H136" s="355">
        <f t="shared" si="74"/>
        <v>15133.021029255058</v>
      </c>
      <c r="I136" s="381">
        <f t="shared" si="75"/>
        <v>15133.021029255058</v>
      </c>
      <c r="J136" s="54">
        <f t="shared" si="78"/>
        <v>0</v>
      </c>
      <c r="K136" s="54"/>
      <c r="L136" s="115"/>
      <c r="M136" s="54">
        <f t="shared" si="80"/>
        <v>0</v>
      </c>
      <c r="N136" s="115"/>
      <c r="O136" s="54">
        <f t="shared" si="81"/>
        <v>0</v>
      </c>
      <c r="P136" s="54">
        <f t="shared" si="79"/>
        <v>0</v>
      </c>
    </row>
    <row r="137" spans="2:16">
      <c r="B137" s="7" t="str">
        <f t="shared" si="41"/>
        <v/>
      </c>
      <c r="C137" s="50">
        <f>IF(D93="","-",+C136+1)</f>
        <v>2044</v>
      </c>
      <c r="D137" s="12">
        <f>IF(F136+SUM(E$99:E136)=D$92,F136,D$92-SUM(E$99:E136))</f>
        <v>33658</v>
      </c>
      <c r="E137" s="355">
        <f>IF(+J96&lt;F136,J96,D137)</f>
        <v>10480</v>
      </c>
      <c r="F137" s="55">
        <f t="shared" si="76"/>
        <v>23178</v>
      </c>
      <c r="G137" s="55">
        <f t="shared" si="77"/>
        <v>28418</v>
      </c>
      <c r="H137" s="355">
        <f t="shared" si="74"/>
        <v>13879.392040962781</v>
      </c>
      <c r="I137" s="381">
        <f t="shared" si="75"/>
        <v>13879.392040962781</v>
      </c>
      <c r="J137" s="54">
        <f t="shared" si="78"/>
        <v>0</v>
      </c>
      <c r="K137" s="54"/>
      <c r="L137" s="115"/>
      <c r="M137" s="54">
        <f t="shared" si="80"/>
        <v>0</v>
      </c>
      <c r="N137" s="115"/>
      <c r="O137" s="54">
        <f t="shared" si="81"/>
        <v>0</v>
      </c>
      <c r="P137" s="54">
        <f t="shared" si="79"/>
        <v>0</v>
      </c>
    </row>
    <row r="138" spans="2:16">
      <c r="B138" s="7" t="str">
        <f t="shared" si="41"/>
        <v/>
      </c>
      <c r="C138" s="50">
        <f>IF(D93="","-",+C137+1)</f>
        <v>2045</v>
      </c>
      <c r="D138" s="12">
        <f>IF(F137+SUM(E$99:E137)=D$92,F137,D$92-SUM(E$99:E137))</f>
        <v>23178</v>
      </c>
      <c r="E138" s="355">
        <f>IF(+J96&lt;F137,J96,D138)</f>
        <v>10480</v>
      </c>
      <c r="F138" s="55">
        <f t="shared" si="76"/>
        <v>12698</v>
      </c>
      <c r="G138" s="55">
        <f t="shared" si="77"/>
        <v>17938</v>
      </c>
      <c r="H138" s="355">
        <f t="shared" si="74"/>
        <v>12625.763052670503</v>
      </c>
      <c r="I138" s="381">
        <f t="shared" si="75"/>
        <v>12625.763052670503</v>
      </c>
      <c r="J138" s="54">
        <f t="shared" si="78"/>
        <v>0</v>
      </c>
      <c r="K138" s="54"/>
      <c r="L138" s="115"/>
      <c r="M138" s="54">
        <f t="shared" si="80"/>
        <v>0</v>
      </c>
      <c r="N138" s="115"/>
      <c r="O138" s="54">
        <f t="shared" si="81"/>
        <v>0</v>
      </c>
      <c r="P138" s="54">
        <f t="shared" si="79"/>
        <v>0</v>
      </c>
    </row>
    <row r="139" spans="2:16">
      <c r="B139" s="7" t="str">
        <f t="shared" si="41"/>
        <v/>
      </c>
      <c r="C139" s="50">
        <f>IF(D93="","-",+C138+1)</f>
        <v>2046</v>
      </c>
      <c r="D139" s="12">
        <f>IF(F138+SUM(E$99:E138)=D$92,F138,D$92-SUM(E$99:E138))</f>
        <v>12698</v>
      </c>
      <c r="E139" s="355">
        <f>IF(+J96&lt;F138,J96,D139)</f>
        <v>10480</v>
      </c>
      <c r="F139" s="55">
        <f t="shared" si="76"/>
        <v>2218</v>
      </c>
      <c r="G139" s="55">
        <f t="shared" si="77"/>
        <v>7458</v>
      </c>
      <c r="H139" s="355">
        <f t="shared" si="74"/>
        <v>11372.134064378226</v>
      </c>
      <c r="I139" s="381">
        <f t="shared" si="75"/>
        <v>11372.134064378226</v>
      </c>
      <c r="J139" s="54">
        <f t="shared" si="78"/>
        <v>0</v>
      </c>
      <c r="K139" s="54"/>
      <c r="L139" s="115"/>
      <c r="M139" s="54">
        <f t="shared" si="80"/>
        <v>0</v>
      </c>
      <c r="N139" s="115"/>
      <c r="O139" s="54">
        <f t="shared" si="81"/>
        <v>0</v>
      </c>
      <c r="P139" s="54">
        <f t="shared" si="79"/>
        <v>0</v>
      </c>
    </row>
    <row r="140" spans="2:16">
      <c r="B140" s="7" t="str">
        <f t="shared" si="41"/>
        <v/>
      </c>
      <c r="C140" s="50">
        <f>IF(D93="","-",+C139+1)</f>
        <v>2047</v>
      </c>
      <c r="D140" s="12">
        <f>IF(F139+SUM(E$99:E139)=D$92,F139,D$92-SUM(E$99:E139))</f>
        <v>2218</v>
      </c>
      <c r="E140" s="355">
        <f>IF(+J96&lt;F139,J96,D140)</f>
        <v>2218</v>
      </c>
      <c r="F140" s="55">
        <f t="shared" si="76"/>
        <v>0</v>
      </c>
      <c r="G140" s="55">
        <f t="shared" si="77"/>
        <v>1109</v>
      </c>
      <c r="H140" s="355">
        <f t="shared" si="74"/>
        <v>2350.6597851160436</v>
      </c>
      <c r="I140" s="381">
        <f t="shared" si="75"/>
        <v>2350.6597851160436</v>
      </c>
      <c r="J140" s="54">
        <f t="shared" si="78"/>
        <v>0</v>
      </c>
      <c r="K140" s="54"/>
      <c r="L140" s="115"/>
      <c r="M140" s="54">
        <f t="shared" si="80"/>
        <v>0</v>
      </c>
      <c r="N140" s="115"/>
      <c r="O140" s="54">
        <f t="shared" si="81"/>
        <v>0</v>
      </c>
      <c r="P140" s="54">
        <f t="shared" si="79"/>
        <v>0</v>
      </c>
    </row>
    <row r="141" spans="2:16">
      <c r="B141" s="7" t="str">
        <f t="shared" si="41"/>
        <v/>
      </c>
      <c r="C141" s="50">
        <f>IF(D93="","-",+C140+1)</f>
        <v>2048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6"/>
        <v>0</v>
      </c>
      <c r="G141" s="55">
        <f t="shared" si="77"/>
        <v>0</v>
      </c>
      <c r="H141" s="355">
        <f t="shared" si="74"/>
        <v>0</v>
      </c>
      <c r="I141" s="381">
        <f t="shared" si="75"/>
        <v>0</v>
      </c>
      <c r="J141" s="54">
        <f t="shared" si="78"/>
        <v>0</v>
      </c>
      <c r="K141" s="54"/>
      <c r="L141" s="115"/>
      <c r="M141" s="54">
        <f t="shared" si="80"/>
        <v>0</v>
      </c>
      <c r="N141" s="115"/>
      <c r="O141" s="54">
        <f t="shared" si="81"/>
        <v>0</v>
      </c>
      <c r="P141" s="54">
        <f t="shared" si="79"/>
        <v>0</v>
      </c>
    </row>
    <row r="142" spans="2:16">
      <c r="B142" s="7" t="str">
        <f t="shared" si="41"/>
        <v/>
      </c>
      <c r="C142" s="50">
        <f>IF(D93="","-",+C141+1)</f>
        <v>2049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6"/>
        <v>0</v>
      </c>
      <c r="G142" s="55">
        <f t="shared" si="77"/>
        <v>0</v>
      </c>
      <c r="H142" s="355">
        <f t="shared" si="74"/>
        <v>0</v>
      </c>
      <c r="I142" s="381">
        <f t="shared" si="75"/>
        <v>0</v>
      </c>
      <c r="J142" s="54">
        <f t="shared" si="78"/>
        <v>0</v>
      </c>
      <c r="K142" s="54"/>
      <c r="L142" s="115"/>
      <c r="M142" s="54">
        <f t="shared" si="80"/>
        <v>0</v>
      </c>
      <c r="N142" s="115"/>
      <c r="O142" s="54">
        <f t="shared" si="81"/>
        <v>0</v>
      </c>
      <c r="P142" s="54">
        <f t="shared" si="79"/>
        <v>0</v>
      </c>
    </row>
    <row r="143" spans="2:16">
      <c r="B143" s="7" t="str">
        <f t="shared" si="41"/>
        <v/>
      </c>
      <c r="C143" s="50">
        <f>IF(D93="","-",+C142+1)</f>
        <v>2050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6"/>
        <v>0</v>
      </c>
      <c r="G143" s="55">
        <f t="shared" si="77"/>
        <v>0</v>
      </c>
      <c r="H143" s="355">
        <f t="shared" si="74"/>
        <v>0</v>
      </c>
      <c r="I143" s="381">
        <f t="shared" si="75"/>
        <v>0</v>
      </c>
      <c r="J143" s="54">
        <f t="shared" si="78"/>
        <v>0</v>
      </c>
      <c r="K143" s="54"/>
      <c r="L143" s="115"/>
      <c r="M143" s="54">
        <f t="shared" si="80"/>
        <v>0</v>
      </c>
      <c r="N143" s="115"/>
      <c r="O143" s="54">
        <f t="shared" si="81"/>
        <v>0</v>
      </c>
      <c r="P143" s="54">
        <f t="shared" si="79"/>
        <v>0</v>
      </c>
    </row>
    <row r="144" spans="2:16">
      <c r="B144" s="7" t="str">
        <f t="shared" si="41"/>
        <v/>
      </c>
      <c r="C144" s="50">
        <f>IF(D93="","-",+C143+1)</f>
        <v>2051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6"/>
        <v>0</v>
      </c>
      <c r="G144" s="55">
        <f t="shared" si="77"/>
        <v>0</v>
      </c>
      <c r="H144" s="355">
        <f t="shared" si="74"/>
        <v>0</v>
      </c>
      <c r="I144" s="381">
        <f t="shared" si="75"/>
        <v>0</v>
      </c>
      <c r="J144" s="54">
        <f t="shared" si="78"/>
        <v>0</v>
      </c>
      <c r="K144" s="54"/>
      <c r="L144" s="115"/>
      <c r="M144" s="54">
        <f t="shared" si="80"/>
        <v>0</v>
      </c>
      <c r="N144" s="115"/>
      <c r="O144" s="54">
        <f t="shared" si="81"/>
        <v>0</v>
      </c>
      <c r="P144" s="54">
        <f t="shared" si="79"/>
        <v>0</v>
      </c>
    </row>
    <row r="145" spans="2:16">
      <c r="B145" s="7" t="str">
        <f t="shared" si="41"/>
        <v/>
      </c>
      <c r="C145" s="50">
        <f>IF(D93="","-",+C144+1)</f>
        <v>2052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6"/>
        <v>0</v>
      </c>
      <c r="G145" s="55">
        <f t="shared" si="77"/>
        <v>0</v>
      </c>
      <c r="H145" s="355">
        <f t="shared" si="74"/>
        <v>0</v>
      </c>
      <c r="I145" s="381">
        <f t="shared" si="75"/>
        <v>0</v>
      </c>
      <c r="J145" s="54">
        <f t="shared" si="78"/>
        <v>0</v>
      </c>
      <c r="K145" s="54"/>
      <c r="L145" s="115"/>
      <c r="M145" s="54">
        <f t="shared" si="80"/>
        <v>0</v>
      </c>
      <c r="N145" s="115"/>
      <c r="O145" s="54">
        <f t="shared" si="81"/>
        <v>0</v>
      </c>
      <c r="P145" s="54">
        <f t="shared" si="79"/>
        <v>0</v>
      </c>
    </row>
    <row r="146" spans="2:16">
      <c r="B146" s="7" t="str">
        <f t="shared" si="41"/>
        <v/>
      </c>
      <c r="C146" s="50">
        <f>IF(D93="","-",+C145+1)</f>
        <v>2053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6"/>
        <v>0</v>
      </c>
      <c r="G146" s="55">
        <f t="shared" si="77"/>
        <v>0</v>
      </c>
      <c r="H146" s="355">
        <f t="shared" si="74"/>
        <v>0</v>
      </c>
      <c r="I146" s="381">
        <f t="shared" si="75"/>
        <v>0</v>
      </c>
      <c r="J146" s="54">
        <f t="shared" si="78"/>
        <v>0</v>
      </c>
      <c r="K146" s="54"/>
      <c r="L146" s="115"/>
      <c r="M146" s="54">
        <f t="shared" si="80"/>
        <v>0</v>
      </c>
      <c r="N146" s="115"/>
      <c r="O146" s="54">
        <f t="shared" si="81"/>
        <v>0</v>
      </c>
      <c r="P146" s="54">
        <f t="shared" si="79"/>
        <v>0</v>
      </c>
    </row>
    <row r="147" spans="2:16">
      <c r="B147" s="7" t="str">
        <f t="shared" si="41"/>
        <v/>
      </c>
      <c r="C147" s="50">
        <f>IF(D93="","-",+C146+1)</f>
        <v>2054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6"/>
        <v>0</v>
      </c>
      <c r="G147" s="55">
        <f t="shared" si="77"/>
        <v>0</v>
      </c>
      <c r="H147" s="355">
        <f t="shared" si="74"/>
        <v>0</v>
      </c>
      <c r="I147" s="381">
        <f t="shared" si="75"/>
        <v>0</v>
      </c>
      <c r="J147" s="54">
        <f t="shared" si="78"/>
        <v>0</v>
      </c>
      <c r="K147" s="54"/>
      <c r="L147" s="115"/>
      <c r="M147" s="54">
        <f t="shared" si="80"/>
        <v>0</v>
      </c>
      <c r="N147" s="115"/>
      <c r="O147" s="54">
        <f t="shared" si="81"/>
        <v>0</v>
      </c>
      <c r="P147" s="54">
        <f t="shared" si="79"/>
        <v>0</v>
      </c>
    </row>
    <row r="148" spans="2:16">
      <c r="B148" s="7" t="str">
        <f t="shared" si="41"/>
        <v/>
      </c>
      <c r="C148" s="50">
        <f>IF(D93="","-",+C147+1)</f>
        <v>2055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6"/>
        <v>0</v>
      </c>
      <c r="G148" s="55">
        <f t="shared" si="77"/>
        <v>0</v>
      </c>
      <c r="H148" s="355">
        <f t="shared" si="74"/>
        <v>0</v>
      </c>
      <c r="I148" s="381">
        <f t="shared" si="75"/>
        <v>0</v>
      </c>
      <c r="J148" s="54">
        <f t="shared" si="78"/>
        <v>0</v>
      </c>
      <c r="K148" s="54"/>
      <c r="L148" s="115"/>
      <c r="M148" s="54">
        <f t="shared" si="80"/>
        <v>0</v>
      </c>
      <c r="N148" s="115"/>
      <c r="O148" s="54">
        <f t="shared" si="81"/>
        <v>0</v>
      </c>
      <c r="P148" s="54">
        <f t="shared" si="79"/>
        <v>0</v>
      </c>
    </row>
    <row r="149" spans="2:16">
      <c r="B149" s="7" t="str">
        <f t="shared" si="41"/>
        <v/>
      </c>
      <c r="C149" s="50">
        <f>IF(D93="","-",+C148+1)</f>
        <v>2056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6"/>
        <v>0</v>
      </c>
      <c r="G149" s="55">
        <f t="shared" si="77"/>
        <v>0</v>
      </c>
      <c r="H149" s="355">
        <f t="shared" si="74"/>
        <v>0</v>
      </c>
      <c r="I149" s="381">
        <f t="shared" si="75"/>
        <v>0</v>
      </c>
      <c r="J149" s="54">
        <f t="shared" si="78"/>
        <v>0</v>
      </c>
      <c r="K149" s="54"/>
      <c r="L149" s="115"/>
      <c r="M149" s="54">
        <f t="shared" si="80"/>
        <v>0</v>
      </c>
      <c r="N149" s="115"/>
      <c r="O149" s="54">
        <f t="shared" si="81"/>
        <v>0</v>
      </c>
      <c r="P149" s="54">
        <f t="shared" si="79"/>
        <v>0</v>
      </c>
    </row>
    <row r="150" spans="2:16">
      <c r="B150" s="7" t="str">
        <f t="shared" si="41"/>
        <v/>
      </c>
      <c r="C150" s="50">
        <f>IF(D93="","-",+C149+1)</f>
        <v>2057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6"/>
        <v>0</v>
      </c>
      <c r="G150" s="55">
        <f t="shared" si="77"/>
        <v>0</v>
      </c>
      <c r="H150" s="355">
        <f t="shared" si="74"/>
        <v>0</v>
      </c>
      <c r="I150" s="381">
        <f t="shared" si="75"/>
        <v>0</v>
      </c>
      <c r="J150" s="54">
        <f t="shared" si="78"/>
        <v>0</v>
      </c>
      <c r="K150" s="54"/>
      <c r="L150" s="115"/>
      <c r="M150" s="54">
        <f t="shared" si="80"/>
        <v>0</v>
      </c>
      <c r="N150" s="115"/>
      <c r="O150" s="54">
        <f t="shared" si="81"/>
        <v>0</v>
      </c>
      <c r="P150" s="54">
        <f t="shared" si="79"/>
        <v>0</v>
      </c>
    </row>
    <row r="151" spans="2:16">
      <c r="B151" s="7" t="str">
        <f t="shared" si="41"/>
        <v/>
      </c>
      <c r="C151" s="50">
        <f>IF(D93="","-",+C150+1)</f>
        <v>2058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6"/>
        <v>0</v>
      </c>
      <c r="G151" s="55">
        <f t="shared" si="77"/>
        <v>0</v>
      </c>
      <c r="H151" s="355">
        <f t="shared" si="74"/>
        <v>0</v>
      </c>
      <c r="I151" s="381">
        <f t="shared" si="75"/>
        <v>0</v>
      </c>
      <c r="J151" s="54">
        <f t="shared" si="78"/>
        <v>0</v>
      </c>
      <c r="K151" s="54"/>
      <c r="L151" s="115"/>
      <c r="M151" s="54">
        <f t="shared" si="80"/>
        <v>0</v>
      </c>
      <c r="N151" s="115"/>
      <c r="O151" s="54">
        <f t="shared" si="81"/>
        <v>0</v>
      </c>
      <c r="P151" s="54">
        <f t="shared" si="79"/>
        <v>0</v>
      </c>
    </row>
    <row r="152" spans="2:16">
      <c r="B152" s="7" t="str">
        <f t="shared" si="41"/>
        <v/>
      </c>
      <c r="C152" s="50">
        <f>IF(D93="","-",+C151+1)</f>
        <v>2059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6"/>
        <v>0</v>
      </c>
      <c r="G152" s="55">
        <f t="shared" si="77"/>
        <v>0</v>
      </c>
      <c r="H152" s="355">
        <f t="shared" si="74"/>
        <v>0</v>
      </c>
      <c r="I152" s="381">
        <f t="shared" si="75"/>
        <v>0</v>
      </c>
      <c r="J152" s="54">
        <f t="shared" si="78"/>
        <v>0</v>
      </c>
      <c r="K152" s="54"/>
      <c r="L152" s="115"/>
      <c r="M152" s="54">
        <f t="shared" si="80"/>
        <v>0</v>
      </c>
      <c r="N152" s="115"/>
      <c r="O152" s="54">
        <f t="shared" si="81"/>
        <v>0</v>
      </c>
      <c r="P152" s="54">
        <f t="shared" si="79"/>
        <v>0</v>
      </c>
    </row>
    <row r="153" spans="2:16">
      <c r="B153" s="7" t="str">
        <f t="shared" si="41"/>
        <v/>
      </c>
      <c r="C153" s="50">
        <f>IF(D93="","-",+C152+1)</f>
        <v>2060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6"/>
        <v>0</v>
      </c>
      <c r="G153" s="55">
        <f t="shared" si="77"/>
        <v>0</v>
      </c>
      <c r="H153" s="355">
        <f t="shared" si="74"/>
        <v>0</v>
      </c>
      <c r="I153" s="381">
        <f t="shared" si="75"/>
        <v>0</v>
      </c>
      <c r="J153" s="54">
        <f t="shared" si="78"/>
        <v>0</v>
      </c>
      <c r="K153" s="54"/>
      <c r="L153" s="115"/>
      <c r="M153" s="54">
        <f t="shared" si="80"/>
        <v>0</v>
      </c>
      <c r="N153" s="115"/>
      <c r="O153" s="54">
        <f t="shared" si="81"/>
        <v>0</v>
      </c>
      <c r="P153" s="54">
        <f t="shared" si="79"/>
        <v>0</v>
      </c>
    </row>
    <row r="154" spans="2:16" ht="13.5" thickBot="1">
      <c r="B154" s="7" t="str">
        <f t="shared" si="41"/>
        <v/>
      </c>
      <c r="C154" s="58">
        <f>IF(D93="","-",+C153+1)</f>
        <v>2061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6"/>
        <v>0</v>
      </c>
      <c r="G154" s="59">
        <f t="shared" si="77"/>
        <v>0</v>
      </c>
      <c r="H154" s="358">
        <f t="shared" ref="H154" si="82">+J$94*G154+E154</f>
        <v>0</v>
      </c>
      <c r="I154" s="383">
        <f t="shared" ref="I154" si="83">+J$95*G154+E154</f>
        <v>0</v>
      </c>
      <c r="J154" s="62">
        <f t="shared" si="78"/>
        <v>0</v>
      </c>
      <c r="K154" s="54"/>
      <c r="L154" s="116"/>
      <c r="M154" s="62">
        <f t="shared" si="80"/>
        <v>0</v>
      </c>
      <c r="N154" s="116"/>
      <c r="O154" s="62">
        <f t="shared" si="81"/>
        <v>0</v>
      </c>
      <c r="P154" s="62">
        <f t="shared" si="79"/>
        <v>0</v>
      </c>
    </row>
    <row r="155" spans="2:16">
      <c r="C155" s="12" t="s">
        <v>77</v>
      </c>
      <c r="D155" s="266"/>
      <c r="E155" s="266">
        <f>SUM(E99:E154)</f>
        <v>387742</v>
      </c>
      <c r="F155" s="266"/>
      <c r="G155" s="266"/>
      <c r="H155" s="266">
        <f>SUM(H99:H154)</f>
        <v>1449421.0746101122</v>
      </c>
      <c r="I155" s="266">
        <f>SUM(I99:I154)</f>
        <v>1449421.0746101122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148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5" priority="1" stopIfTrue="1" operator="equal">
      <formula>$I$10</formula>
    </cfRule>
  </conditionalFormatting>
  <conditionalFormatting sqref="C99:C154">
    <cfRule type="cellIs" dxfId="6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ignoredErrors>
    <ignoredError sqref="M101 O101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P162"/>
  <sheetViews>
    <sheetView topLeftCell="A7" zoomScaleNormal="100" zoomScaleSheetLayoutView="75" workbookViewId="0">
      <selection activeCell="G17" sqref="G17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6 of 36</v>
      </c>
    </row>
    <row r="2" spans="1:16" ht="18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.75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5.75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146563.19674666296</v>
      </c>
      <c r="P5" s="1"/>
    </row>
    <row r="6" spans="1:16" ht="15.7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146563.19674666296</v>
      </c>
      <c r="O6" s="1"/>
      <c r="P6" s="1"/>
    </row>
    <row r="7" spans="1:16" ht="13.5" thickBot="1">
      <c r="C7" s="26" t="s">
        <v>46</v>
      </c>
      <c r="D7" s="97" t="s">
        <v>84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85</v>
      </c>
      <c r="E9" s="74" t="s">
        <v>373</v>
      </c>
      <c r="F9" s="514">
        <v>110</v>
      </c>
      <c r="G9" s="32"/>
      <c r="H9" s="32"/>
      <c r="I9" s="33"/>
      <c r="J9" s="34"/>
      <c r="P9" s="1"/>
    </row>
    <row r="10" spans="1:16">
      <c r="C10" s="128" t="s">
        <v>226</v>
      </c>
      <c r="D10" s="335">
        <v>1520502</v>
      </c>
      <c r="E10" s="1" t="s">
        <v>51</v>
      </c>
      <c r="G10" s="2"/>
      <c r="H10" s="2"/>
      <c r="I10" s="36">
        <f>+'PSO.WS.F.BPU.ATRR.Projected'!L19</f>
        <v>2025</v>
      </c>
      <c r="J10" s="34"/>
      <c r="K10" s="266" t="s">
        <v>52</v>
      </c>
      <c r="O10" s="1"/>
      <c r="P10" s="1"/>
    </row>
    <row r="11" spans="1:16">
      <c r="C11" s="37" t="s">
        <v>53</v>
      </c>
      <c r="D11" s="38">
        <v>2008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7" t="s">
        <v>55</v>
      </c>
      <c r="D12" s="335">
        <v>4</v>
      </c>
      <c r="E12" s="37" t="s">
        <v>56</v>
      </c>
      <c r="F12" s="2"/>
      <c r="I12" s="41">
        <f>'PSO.WS.F.BPU.ATRR.Projected'!$F$81</f>
        <v>0.11360649418848089</v>
      </c>
      <c r="J12" s="8"/>
      <c r="K12" t="s">
        <v>57</v>
      </c>
      <c r="O12" s="1"/>
      <c r="P12" s="1"/>
    </row>
    <row r="13" spans="1:16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0.11360649418848089</v>
      </c>
      <c r="J13" s="8"/>
      <c r="K13" s="266" t="s">
        <v>60</v>
      </c>
      <c r="L13" s="8"/>
      <c r="M13" s="8"/>
      <c r="N13" s="8"/>
      <c r="O13" s="1"/>
      <c r="P13" s="1"/>
    </row>
    <row r="14" spans="1:16" ht="13.5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40013.210526315786</v>
      </c>
      <c r="J14" s="266"/>
      <c r="K14" s="266"/>
      <c r="L14" s="266"/>
      <c r="M14" s="266"/>
      <c r="N14" s="266"/>
      <c r="O14" s="1"/>
      <c r="P14" s="1"/>
    </row>
    <row r="15" spans="1:16" ht="38.25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>
      <c r="B17" s="7"/>
      <c r="C17" s="50">
        <f>IF(D11= "","-",D11)</f>
        <v>2008</v>
      </c>
      <c r="D17" s="348">
        <v>1520473</v>
      </c>
      <c r="E17" s="349">
        <v>19125</v>
      </c>
      <c r="F17" s="348">
        <v>1501348</v>
      </c>
      <c r="G17" s="349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/>
      </c>
      <c r="C18" s="50">
        <f>IF(D11="","-",+C17+1)</f>
        <v>2009</v>
      </c>
      <c r="D18" s="351">
        <v>1501348</v>
      </c>
      <c r="E18" s="352">
        <v>28688</v>
      </c>
      <c r="F18" s="351">
        <v>1472660</v>
      </c>
      <c r="G18" s="352">
        <v>254309</v>
      </c>
      <c r="H18" s="353">
        <v>254309</v>
      </c>
      <c r="I18" s="52">
        <f t="shared" si="0"/>
        <v>0</v>
      </c>
      <c r="J18" s="52"/>
      <c r="K18" s="350">
        <v>254309</v>
      </c>
      <c r="L18" s="54">
        <f t="shared" si="1"/>
        <v>0</v>
      </c>
      <c r="M18" s="350">
        <v>254309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2010</v>
      </c>
      <c r="D19" s="351">
        <v>1472689</v>
      </c>
      <c r="E19" s="352">
        <v>27151.821428571428</v>
      </c>
      <c r="F19" s="351">
        <v>1445537.1785714286</v>
      </c>
      <c r="G19" s="352">
        <v>235737.79751815079</v>
      </c>
      <c r="H19" s="353">
        <v>235737.79751815079</v>
      </c>
      <c r="I19" s="52">
        <f t="shared" si="0"/>
        <v>0</v>
      </c>
      <c r="J19" s="52"/>
      <c r="K19" s="379">
        <f t="shared" ref="K19:K24" si="4">G19</f>
        <v>235737.79751815079</v>
      </c>
      <c r="L19" s="380">
        <f t="shared" si="1"/>
        <v>0</v>
      </c>
      <c r="M19" s="379">
        <f t="shared" ref="M19:M24" si="5">H19</f>
        <v>235737.79751815079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2011</v>
      </c>
      <c r="D20" s="351">
        <v>1445537.1785714286</v>
      </c>
      <c r="E20" s="352">
        <v>29813.764705882353</v>
      </c>
      <c r="F20" s="351">
        <v>1415723.4138655462</v>
      </c>
      <c r="G20" s="352">
        <v>251435.83921239444</v>
      </c>
      <c r="H20" s="353">
        <v>251435.83921239444</v>
      </c>
      <c r="I20" s="52">
        <f t="shared" si="0"/>
        <v>0</v>
      </c>
      <c r="J20" s="52"/>
      <c r="K20" s="350">
        <f t="shared" si="4"/>
        <v>251435.83921239444</v>
      </c>
      <c r="L20" s="54">
        <f t="shared" si="1"/>
        <v>0</v>
      </c>
      <c r="M20" s="350">
        <f t="shared" si="5"/>
        <v>251435.83921239444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IF(D11="","-",+C20+1)</f>
        <v>2012</v>
      </c>
      <c r="D21" s="351">
        <v>1415723.4138655462</v>
      </c>
      <c r="E21" s="352">
        <v>29240.423076923078</v>
      </c>
      <c r="F21" s="351">
        <v>1386482.9907886232</v>
      </c>
      <c r="G21" s="352">
        <v>222248.1918516063</v>
      </c>
      <c r="H21" s="353">
        <v>222248.1918516063</v>
      </c>
      <c r="I21" s="52">
        <f t="shared" si="0"/>
        <v>0</v>
      </c>
      <c r="J21" s="52"/>
      <c r="K21" s="350">
        <f t="shared" si="4"/>
        <v>222248.1918516063</v>
      </c>
      <c r="L21" s="54">
        <f t="shared" si="1"/>
        <v>0</v>
      </c>
      <c r="M21" s="350">
        <f t="shared" si="5"/>
        <v>222248.1918516063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6"/>
        <v/>
      </c>
      <c r="C22" s="50">
        <f>IF(D11="","-",+C21+1)</f>
        <v>2013</v>
      </c>
      <c r="D22" s="351">
        <v>1386482.9907886232</v>
      </c>
      <c r="E22" s="352">
        <v>29240.423076923078</v>
      </c>
      <c r="F22" s="351">
        <v>1357242.5677117002</v>
      </c>
      <c r="G22" s="352">
        <v>223063.83719618269</v>
      </c>
      <c r="H22" s="353">
        <v>223063.83719618269</v>
      </c>
      <c r="I22" s="52">
        <v>0</v>
      </c>
      <c r="J22" s="52"/>
      <c r="K22" s="350">
        <f t="shared" si="4"/>
        <v>223063.83719618269</v>
      </c>
      <c r="L22" s="54">
        <f t="shared" ref="L22:L27" si="7">IF(K22&lt;&gt;0,+G22-K22,0)</f>
        <v>0</v>
      </c>
      <c r="M22" s="350">
        <f t="shared" si="5"/>
        <v>223063.83719618269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>
      <c r="B23" s="7" t="str">
        <f t="shared" si="6"/>
        <v/>
      </c>
      <c r="C23" s="50">
        <f>IF(D11="","-",+C22+1)</f>
        <v>2014</v>
      </c>
      <c r="D23" s="351">
        <v>1357242.5677117002</v>
      </c>
      <c r="E23" s="352">
        <v>29240.423076923078</v>
      </c>
      <c r="F23" s="351">
        <v>1328002.1446347772</v>
      </c>
      <c r="G23" s="352">
        <v>212051.56179808528</v>
      </c>
      <c r="H23" s="353">
        <v>212051.56179808528</v>
      </c>
      <c r="I23" s="52">
        <v>0</v>
      </c>
      <c r="J23" s="52"/>
      <c r="K23" s="350">
        <f t="shared" si="4"/>
        <v>212051.56179808528</v>
      </c>
      <c r="L23" s="54">
        <f t="shared" si="7"/>
        <v>0</v>
      </c>
      <c r="M23" s="350">
        <f t="shared" si="5"/>
        <v>212051.56179808528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2015</v>
      </c>
      <c r="D24" s="351">
        <v>1328002.1446347772</v>
      </c>
      <c r="E24" s="352">
        <v>29240.423076923078</v>
      </c>
      <c r="F24" s="351">
        <v>1298761.7215578542</v>
      </c>
      <c r="G24" s="352">
        <v>208302.85337289202</v>
      </c>
      <c r="H24" s="353">
        <v>208302.85337289202</v>
      </c>
      <c r="I24" s="52">
        <v>0</v>
      </c>
      <c r="J24" s="52"/>
      <c r="K24" s="350">
        <f t="shared" si="4"/>
        <v>208302.85337289202</v>
      </c>
      <c r="L24" s="54">
        <f t="shared" si="7"/>
        <v>0</v>
      </c>
      <c r="M24" s="350">
        <f t="shared" si="5"/>
        <v>208302.85337289202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2016</v>
      </c>
      <c r="D25" s="351">
        <v>1298761.7215578542</v>
      </c>
      <c r="E25" s="352">
        <v>29240.423076923078</v>
      </c>
      <c r="F25" s="351">
        <v>1269521.2984809312</v>
      </c>
      <c r="G25" s="352">
        <v>195750.37197477801</v>
      </c>
      <c r="H25" s="353">
        <v>195750.37197477801</v>
      </c>
      <c r="I25" s="52">
        <f t="shared" si="0"/>
        <v>0</v>
      </c>
      <c r="J25" s="52"/>
      <c r="K25" s="350">
        <f t="shared" ref="K25:K30" si="10">G25</f>
        <v>195750.37197477801</v>
      </c>
      <c r="L25" s="54">
        <f t="shared" si="7"/>
        <v>0</v>
      </c>
      <c r="M25" s="350">
        <f t="shared" ref="M25:M30" si="11">H25</f>
        <v>195750.37197477801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2017</v>
      </c>
      <c r="D26" s="351">
        <v>1269521.2984809312</v>
      </c>
      <c r="E26" s="352">
        <v>33054.391304347824</v>
      </c>
      <c r="F26" s="351">
        <v>1236466.9071765833</v>
      </c>
      <c r="G26" s="352">
        <v>190407.97943741584</v>
      </c>
      <c r="H26" s="353">
        <v>190407.97943741584</v>
      </c>
      <c r="I26" s="52">
        <f t="shared" si="0"/>
        <v>0</v>
      </c>
      <c r="J26" s="52"/>
      <c r="K26" s="350">
        <f t="shared" si="10"/>
        <v>190407.97943741584</v>
      </c>
      <c r="L26" s="54">
        <f t="shared" si="7"/>
        <v>0</v>
      </c>
      <c r="M26" s="350">
        <f t="shared" si="11"/>
        <v>190407.97943741584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2018</v>
      </c>
      <c r="D27" s="351">
        <v>1236466.9071765833</v>
      </c>
      <c r="E27" s="352">
        <v>33788.933333333334</v>
      </c>
      <c r="F27" s="351">
        <v>1202677.97384325</v>
      </c>
      <c r="G27" s="352">
        <v>179843.63692519162</v>
      </c>
      <c r="H27" s="353">
        <v>179843.63692519162</v>
      </c>
      <c r="I27" s="52">
        <f t="shared" si="0"/>
        <v>0</v>
      </c>
      <c r="J27" s="52"/>
      <c r="K27" s="350">
        <f t="shared" si="10"/>
        <v>179843.63692519162</v>
      </c>
      <c r="L27" s="54">
        <f t="shared" si="7"/>
        <v>0</v>
      </c>
      <c r="M27" s="350">
        <f t="shared" si="11"/>
        <v>179843.63692519162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6"/>
        <v/>
      </c>
      <c r="C28" s="50">
        <f>IF(D11="","-",+C27+1)</f>
        <v>2019</v>
      </c>
      <c r="D28" s="351">
        <v>1202677.97384325</v>
      </c>
      <c r="E28" s="352">
        <v>38012.550000000003</v>
      </c>
      <c r="F28" s="351">
        <v>1164665.4238432499</v>
      </c>
      <c r="G28" s="352">
        <v>170177.34445508715</v>
      </c>
      <c r="H28" s="353">
        <v>170177.34445508715</v>
      </c>
      <c r="I28" s="52">
        <f t="shared" si="0"/>
        <v>0</v>
      </c>
      <c r="J28" s="52"/>
      <c r="K28" s="350">
        <f t="shared" si="10"/>
        <v>170177.34445508715</v>
      </c>
      <c r="L28" s="54">
        <f t="shared" ref="L28" si="12">IF(K28&lt;&gt;0,+G28-K28,0)</f>
        <v>0</v>
      </c>
      <c r="M28" s="350">
        <f t="shared" si="11"/>
        <v>170177.34445508715</v>
      </c>
      <c r="N28" s="54">
        <f t="shared" ref="N28" si="13">IF(M28&lt;&gt;0,+H28-M28,0)</f>
        <v>0</v>
      </c>
      <c r="O28" s="54">
        <f t="shared" ref="O28" si="14">+N28-L28</f>
        <v>0</v>
      </c>
      <c r="P28" s="1"/>
    </row>
    <row r="29" spans="2:16">
      <c r="B29" s="7" t="str">
        <f t="shared" si="6"/>
        <v>IU</v>
      </c>
      <c r="C29" s="50">
        <f>IF(D11="","-",+C28+1)</f>
        <v>2020</v>
      </c>
      <c r="D29" s="351">
        <v>1168889.0405099166</v>
      </c>
      <c r="E29" s="352">
        <v>36202.428571428572</v>
      </c>
      <c r="F29" s="351">
        <v>1132686.611938488</v>
      </c>
      <c r="G29" s="352">
        <v>160493.01101346352</v>
      </c>
      <c r="H29" s="353">
        <v>160493.01101346352</v>
      </c>
      <c r="I29" s="52">
        <f t="shared" si="0"/>
        <v>0</v>
      </c>
      <c r="J29" s="52"/>
      <c r="K29" s="350">
        <f t="shared" si="10"/>
        <v>160493.01101346352</v>
      </c>
      <c r="L29" s="54">
        <f t="shared" ref="L29" si="15">IF(K29&lt;&gt;0,+G29-K29,0)</f>
        <v>0</v>
      </c>
      <c r="M29" s="350">
        <f t="shared" si="11"/>
        <v>160493.01101346352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2021</v>
      </c>
      <c r="D30" s="351">
        <v>1128462.995271821</v>
      </c>
      <c r="E30" s="352">
        <v>35360.511627906977</v>
      </c>
      <c r="F30" s="351">
        <v>1093102.4836439141</v>
      </c>
      <c r="G30" s="352">
        <v>153220.62710843381</v>
      </c>
      <c r="H30" s="353">
        <v>153220.62710843381</v>
      </c>
      <c r="I30" s="52">
        <f t="shared" si="0"/>
        <v>0</v>
      </c>
      <c r="J30" s="52"/>
      <c r="K30" s="350">
        <f t="shared" si="10"/>
        <v>153220.62710843381</v>
      </c>
      <c r="L30" s="54">
        <f t="shared" ref="L30" si="16">IF(K30&lt;&gt;0,+G30-K30,0)</f>
        <v>0</v>
      </c>
      <c r="M30" s="350">
        <f t="shared" si="11"/>
        <v>153220.62710843381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/>
      </c>
      <c r="C31" s="50">
        <f>IF(D11="","-",+C30+1)</f>
        <v>2022</v>
      </c>
      <c r="D31" s="351">
        <v>1093102.4836439141</v>
      </c>
      <c r="E31" s="352">
        <v>36202.428571428572</v>
      </c>
      <c r="F31" s="351">
        <v>1056900.0550724855</v>
      </c>
      <c r="G31" s="352">
        <v>150148.14020254629</v>
      </c>
      <c r="H31" s="353">
        <v>150148.14020254629</v>
      </c>
      <c r="I31" s="52">
        <f t="shared" si="0"/>
        <v>0</v>
      </c>
      <c r="J31" s="52"/>
      <c r="K31" s="350">
        <f t="shared" ref="K31" si="17">G31</f>
        <v>150148.14020254629</v>
      </c>
      <c r="L31" s="54">
        <f t="shared" ref="L31" si="18">IF(K31&lt;&gt;0,+G31-K31,0)</f>
        <v>0</v>
      </c>
      <c r="M31" s="350">
        <f t="shared" ref="M31" si="19">H31</f>
        <v>150148.14020254629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2023</v>
      </c>
      <c r="D32" s="351">
        <v>1056900.0550724855</v>
      </c>
      <c r="E32" s="352">
        <v>38987.230769230766</v>
      </c>
      <c r="F32" s="351">
        <v>1017912.8243032547</v>
      </c>
      <c r="G32" s="352">
        <v>160484.23733816287</v>
      </c>
      <c r="H32" s="353">
        <v>160484.23733816287</v>
      </c>
      <c r="I32" s="52">
        <f t="shared" si="0"/>
        <v>0</v>
      </c>
      <c r="J32" s="52"/>
      <c r="K32" s="350">
        <f t="shared" ref="K32" si="20">G32</f>
        <v>160484.23733816287</v>
      </c>
      <c r="L32" s="54">
        <f t="shared" ref="L32" si="21">IF(K32&lt;&gt;0,+G32-K32,0)</f>
        <v>0</v>
      </c>
      <c r="M32" s="350">
        <f t="shared" ref="M32" si="22">H32</f>
        <v>160484.23733816287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6"/>
        <v/>
      </c>
      <c r="C33" s="50">
        <f>IF(D11="","-",+C32+1)</f>
        <v>2024</v>
      </c>
      <c r="D33" s="351">
        <v>1017912.8243032547</v>
      </c>
      <c r="E33" s="352">
        <v>40013.210526315786</v>
      </c>
      <c r="F33" s="351">
        <v>977899.61377693899</v>
      </c>
      <c r="G33" s="352">
        <v>151239.69603131246</v>
      </c>
      <c r="H33" s="353">
        <v>151239.69603131246</v>
      </c>
      <c r="I33" s="52">
        <f t="shared" si="0"/>
        <v>0</v>
      </c>
      <c r="J33" s="52"/>
      <c r="K33" s="350">
        <f t="shared" ref="K33" si="23">G33</f>
        <v>151239.69603131246</v>
      </c>
      <c r="L33" s="54">
        <f t="shared" ref="L33" si="24">IF(K33&lt;&gt;0,+G33-K33,0)</f>
        <v>0</v>
      </c>
      <c r="M33" s="350">
        <f t="shared" ref="M33" si="25">H33</f>
        <v>151239.69603131246</v>
      </c>
      <c r="N33" s="54">
        <f t="shared" ref="N33" si="26">IF(M33&lt;&gt;0,+H33-M33,0)</f>
        <v>0</v>
      </c>
      <c r="O33" s="54">
        <f t="shared" ref="O33" si="27">+N33-L33</f>
        <v>0</v>
      </c>
      <c r="P33" s="1"/>
    </row>
    <row r="34" spans="2:16">
      <c r="B34" s="7" t="str">
        <f t="shared" si="6"/>
        <v/>
      </c>
      <c r="C34" s="50">
        <f>IF(D11="","-",+C33+1)</f>
        <v>2025</v>
      </c>
      <c r="D34" s="351">
        <v>977899.61377693899</v>
      </c>
      <c r="E34" s="352">
        <v>40013.210526315786</v>
      </c>
      <c r="F34" s="351">
        <v>937886.40325062326</v>
      </c>
      <c r="G34" s="352">
        <v>146563.19674666296</v>
      </c>
      <c r="H34" s="353">
        <v>146563.19674666296</v>
      </c>
      <c r="I34" s="52">
        <f t="shared" si="0"/>
        <v>0</v>
      </c>
      <c r="J34" s="52"/>
      <c r="K34" s="350">
        <f t="shared" ref="K34" si="28">G34</f>
        <v>146563.19674666296</v>
      </c>
      <c r="L34" s="54">
        <f t="shared" ref="L34" si="29">IF(K34&lt;&gt;0,+G34-K34,0)</f>
        <v>0</v>
      </c>
      <c r="M34" s="350">
        <f t="shared" ref="M34" si="30">H34</f>
        <v>146563.19674666296</v>
      </c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937886.40325062326</v>
      </c>
      <c r="E35" s="354">
        <f>IF(+I14&lt;F34,I14,D35)</f>
        <v>40013.210526315786</v>
      </c>
      <c r="F35" s="55">
        <f t="shared" ref="F35:F48" si="31">+D35-E35</f>
        <v>897873.19272430753</v>
      </c>
      <c r="G35" s="355">
        <f t="shared" ref="G35:G72" si="32">(D35+F35)/2*I$12+E35</f>
        <v>144290.31646210278</v>
      </c>
      <c r="H35" s="336">
        <f t="shared" ref="H35:H72" si="33">+(D35+F35)/2*I$13+E35</f>
        <v>144290.31646210278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897873.19272430753</v>
      </c>
      <c r="E36" s="354">
        <f>IF(+I14&lt;F35,I14,D36)</f>
        <v>40013.210526315786</v>
      </c>
      <c r="F36" s="55">
        <f t="shared" si="31"/>
        <v>857859.98219799181</v>
      </c>
      <c r="G36" s="355">
        <f t="shared" si="32"/>
        <v>139744.55589298243</v>
      </c>
      <c r="H36" s="336">
        <f t="shared" si="33"/>
        <v>139744.55589298243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857859.98219799181</v>
      </c>
      <c r="E37" s="354">
        <f>IF(+I14&lt;F36,I14,D37)</f>
        <v>40013.210526315786</v>
      </c>
      <c r="F37" s="55">
        <f t="shared" si="31"/>
        <v>817846.77167167608</v>
      </c>
      <c r="G37" s="355">
        <f t="shared" si="32"/>
        <v>135198.79532386208</v>
      </c>
      <c r="H37" s="336">
        <f t="shared" si="33"/>
        <v>135198.79532386208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817846.77167167608</v>
      </c>
      <c r="E38" s="354">
        <f>IF(+I14&lt;F37,I14,D38)</f>
        <v>40013.210526315786</v>
      </c>
      <c r="F38" s="55">
        <f t="shared" si="31"/>
        <v>777833.56114536035</v>
      </c>
      <c r="G38" s="355">
        <f t="shared" si="32"/>
        <v>130653.03475474173</v>
      </c>
      <c r="H38" s="336">
        <f t="shared" si="33"/>
        <v>130653.03475474173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777833.56114536035</v>
      </c>
      <c r="E39" s="354">
        <f>IF(+I14&lt;F38,I14,D39)</f>
        <v>40013.210526315786</v>
      </c>
      <c r="F39" s="55">
        <f t="shared" si="31"/>
        <v>737820.35061904462</v>
      </c>
      <c r="G39" s="355">
        <f t="shared" si="32"/>
        <v>126107.27418562138</v>
      </c>
      <c r="H39" s="336">
        <f t="shared" si="33"/>
        <v>126107.27418562138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737820.35061904462</v>
      </c>
      <c r="E40" s="354">
        <f>IF(+I14&lt;F39,I14,D40)</f>
        <v>40013.210526315786</v>
      </c>
      <c r="F40" s="55">
        <f t="shared" si="31"/>
        <v>697807.14009272889</v>
      </c>
      <c r="G40" s="355">
        <f t="shared" si="32"/>
        <v>121561.51361650103</v>
      </c>
      <c r="H40" s="336">
        <f t="shared" si="33"/>
        <v>121561.51361650103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697807.14009272889</v>
      </c>
      <c r="E41" s="354">
        <f>IF(+I14&lt;F40,I14,D41)</f>
        <v>40013.210526315786</v>
      </c>
      <c r="F41" s="55">
        <f t="shared" si="31"/>
        <v>657793.92956641316</v>
      </c>
      <c r="G41" s="355">
        <f t="shared" si="32"/>
        <v>117015.75304738068</v>
      </c>
      <c r="H41" s="336">
        <f t="shared" si="33"/>
        <v>117015.75304738068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657793.92956641316</v>
      </c>
      <c r="E42" s="354">
        <f>IF(+I14&lt;F41,I14,D42)</f>
        <v>40013.210526315786</v>
      </c>
      <c r="F42" s="55">
        <f t="shared" si="31"/>
        <v>617780.71904009744</v>
      </c>
      <c r="G42" s="355">
        <f t="shared" si="32"/>
        <v>112469.99247826033</v>
      </c>
      <c r="H42" s="336">
        <f t="shared" si="33"/>
        <v>112469.99247826033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617780.71904009744</v>
      </c>
      <c r="E43" s="354">
        <f>IF(+I14&lt;F42,I14,D43)</f>
        <v>40013.210526315786</v>
      </c>
      <c r="F43" s="55">
        <f t="shared" si="31"/>
        <v>577767.50851378171</v>
      </c>
      <c r="G43" s="355">
        <f t="shared" si="32"/>
        <v>107924.23190913998</v>
      </c>
      <c r="H43" s="336">
        <f t="shared" si="33"/>
        <v>107924.23190913998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577767.50851378171</v>
      </c>
      <c r="E44" s="354">
        <f>IF(+I14&lt;F43,I14,D44)</f>
        <v>40013.210526315786</v>
      </c>
      <c r="F44" s="55">
        <f t="shared" si="31"/>
        <v>537754.29798746598</v>
      </c>
      <c r="G44" s="355">
        <f t="shared" si="32"/>
        <v>103378.47134001963</v>
      </c>
      <c r="H44" s="336">
        <f t="shared" si="33"/>
        <v>103378.47134001963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537754.29798746598</v>
      </c>
      <c r="E45" s="354">
        <f>IF(+I14&lt;F44,I14,D45)</f>
        <v>40013.210526315786</v>
      </c>
      <c r="F45" s="55">
        <f t="shared" si="31"/>
        <v>497741.08746115019</v>
      </c>
      <c r="G45" s="355">
        <f t="shared" si="32"/>
        <v>98832.710770899284</v>
      </c>
      <c r="H45" s="336">
        <f t="shared" si="33"/>
        <v>98832.710770899284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497741.08746115019</v>
      </c>
      <c r="E46" s="354">
        <f>IF(+I14&lt;F45,I14,D46)</f>
        <v>40013.210526315786</v>
      </c>
      <c r="F46" s="55">
        <f t="shared" si="31"/>
        <v>457727.87693483441</v>
      </c>
      <c r="G46" s="355">
        <f t="shared" si="32"/>
        <v>94286.95020177892</v>
      </c>
      <c r="H46" s="336">
        <f t="shared" si="33"/>
        <v>94286.95020177892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457727.87693483441</v>
      </c>
      <c r="E47" s="354">
        <f>IF(+I14&lt;F46,I14,D47)</f>
        <v>40013.210526315786</v>
      </c>
      <c r="F47" s="55">
        <f t="shared" si="31"/>
        <v>417714.66640851862</v>
      </c>
      <c r="G47" s="355">
        <f t="shared" si="32"/>
        <v>89741.18963265857</v>
      </c>
      <c r="H47" s="336">
        <f t="shared" si="33"/>
        <v>89741.18963265857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417714.66640851862</v>
      </c>
      <c r="E48" s="354">
        <f>IF(+I14&lt;F47,I14,D48)</f>
        <v>40013.210526315786</v>
      </c>
      <c r="F48" s="55">
        <f t="shared" si="31"/>
        <v>377701.45588220283</v>
      </c>
      <c r="G48" s="355">
        <f t="shared" si="32"/>
        <v>85195.429063538206</v>
      </c>
      <c r="H48" s="336">
        <f t="shared" si="33"/>
        <v>85195.429063538206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377701.45588220283</v>
      </c>
      <c r="E49" s="354">
        <f>IF(+I14&lt;F48,I14,D49)</f>
        <v>40013.210526315786</v>
      </c>
      <c r="F49" s="55">
        <f t="shared" ref="F49:F72" si="34">+D49-E49</f>
        <v>337688.24535588705</v>
      </c>
      <c r="G49" s="355">
        <f t="shared" si="32"/>
        <v>80649.668494417856</v>
      </c>
      <c r="H49" s="336">
        <f t="shared" si="33"/>
        <v>80649.668494417856</v>
      </c>
      <c r="I49" s="52">
        <f t="shared" ref="I49:I72" si="35">H49-G49</f>
        <v>0</v>
      </c>
      <c r="J49" s="52"/>
      <c r="K49" s="115"/>
      <c r="L49" s="54">
        <f t="shared" ref="L49:L72" si="36">IF(K49&lt;&gt;0,+G49-K49,0)</f>
        <v>0</v>
      </c>
      <c r="M49" s="115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6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337688.24535588705</v>
      </c>
      <c r="E50" s="354">
        <f>IF(+I14&lt;F49,I14,D50)</f>
        <v>40013.210526315786</v>
      </c>
      <c r="F50" s="55">
        <f t="shared" si="34"/>
        <v>297675.03482957126</v>
      </c>
      <c r="G50" s="355">
        <f t="shared" si="32"/>
        <v>76103.907925297492</v>
      </c>
      <c r="H50" s="336">
        <f t="shared" si="33"/>
        <v>76103.907925297492</v>
      </c>
      <c r="I50" s="52">
        <f t="shared" si="35"/>
        <v>0</v>
      </c>
      <c r="J50" s="52"/>
      <c r="K50" s="115"/>
      <c r="L50" s="54">
        <f t="shared" si="36"/>
        <v>0</v>
      </c>
      <c r="M50" s="115"/>
      <c r="N50" s="54">
        <f t="shared" si="37"/>
        <v>0</v>
      </c>
      <c r="O50" s="54">
        <f t="shared" si="38"/>
        <v>0</v>
      </c>
      <c r="P50" s="1"/>
    </row>
    <row r="51" spans="2:16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297675.03482957126</v>
      </c>
      <c r="E51" s="354">
        <f>IF(+I14&lt;F50,I14,D51)</f>
        <v>40013.210526315786</v>
      </c>
      <c r="F51" s="55">
        <f t="shared" si="34"/>
        <v>257661.82430325547</v>
      </c>
      <c r="G51" s="355">
        <f t="shared" si="32"/>
        <v>71558.147356177142</v>
      </c>
      <c r="H51" s="336">
        <f t="shared" si="33"/>
        <v>71558.147356177142</v>
      </c>
      <c r="I51" s="52">
        <f t="shared" si="35"/>
        <v>0</v>
      </c>
      <c r="J51" s="52"/>
      <c r="K51" s="115"/>
      <c r="L51" s="54">
        <f t="shared" si="36"/>
        <v>0</v>
      </c>
      <c r="M51" s="115"/>
      <c r="N51" s="54">
        <f t="shared" si="37"/>
        <v>0</v>
      </c>
      <c r="O51" s="54">
        <f t="shared" si="38"/>
        <v>0</v>
      </c>
      <c r="P51" s="1"/>
    </row>
    <row r="52" spans="2:16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257661.82430325547</v>
      </c>
      <c r="E52" s="354">
        <f>IF(+I14&lt;F51,I14,D52)</f>
        <v>40013.210526315786</v>
      </c>
      <c r="F52" s="55">
        <f t="shared" si="34"/>
        <v>217648.61377693969</v>
      </c>
      <c r="G52" s="355">
        <f t="shared" si="32"/>
        <v>67012.386787056777</v>
      </c>
      <c r="H52" s="336">
        <f t="shared" si="33"/>
        <v>67012.386787056777</v>
      </c>
      <c r="I52" s="52">
        <f t="shared" si="35"/>
        <v>0</v>
      </c>
      <c r="J52" s="52"/>
      <c r="K52" s="115"/>
      <c r="L52" s="54">
        <f t="shared" si="36"/>
        <v>0</v>
      </c>
      <c r="M52" s="115"/>
      <c r="N52" s="54">
        <f t="shared" si="37"/>
        <v>0</v>
      </c>
      <c r="O52" s="54">
        <f t="shared" si="38"/>
        <v>0</v>
      </c>
      <c r="P52" s="1"/>
    </row>
    <row r="53" spans="2:16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217648.61377693969</v>
      </c>
      <c r="E53" s="354">
        <f>IF(+I14&lt;F52,I14,D53)</f>
        <v>40013.210526315786</v>
      </c>
      <c r="F53" s="55">
        <f t="shared" si="34"/>
        <v>177635.4032506239</v>
      </c>
      <c r="G53" s="355">
        <f t="shared" si="32"/>
        <v>62466.626217936428</v>
      </c>
      <c r="H53" s="336">
        <f t="shared" si="33"/>
        <v>62466.626217936428</v>
      </c>
      <c r="I53" s="52">
        <f t="shared" si="35"/>
        <v>0</v>
      </c>
      <c r="J53" s="52"/>
      <c r="K53" s="115"/>
      <c r="L53" s="54">
        <f t="shared" si="36"/>
        <v>0</v>
      </c>
      <c r="M53" s="115"/>
      <c r="N53" s="54">
        <f t="shared" si="37"/>
        <v>0</v>
      </c>
      <c r="O53" s="54">
        <f t="shared" si="38"/>
        <v>0</v>
      </c>
      <c r="P53" s="1"/>
    </row>
    <row r="54" spans="2:16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177635.4032506239</v>
      </c>
      <c r="E54" s="354">
        <f>IF(+I14&lt;F53,I14,D54)</f>
        <v>40013.210526315786</v>
      </c>
      <c r="F54" s="55">
        <f t="shared" si="34"/>
        <v>137622.19272430812</v>
      </c>
      <c r="G54" s="355">
        <f t="shared" si="32"/>
        <v>57920.86564881607</v>
      </c>
      <c r="H54" s="336">
        <f t="shared" si="33"/>
        <v>57920.86564881607</v>
      </c>
      <c r="I54" s="52">
        <f t="shared" si="35"/>
        <v>0</v>
      </c>
      <c r="J54" s="52"/>
      <c r="K54" s="115"/>
      <c r="L54" s="54">
        <f t="shared" si="36"/>
        <v>0</v>
      </c>
      <c r="M54" s="115"/>
      <c r="N54" s="54">
        <f t="shared" si="37"/>
        <v>0</v>
      </c>
      <c r="O54" s="54">
        <f t="shared" si="38"/>
        <v>0</v>
      </c>
      <c r="P54" s="1"/>
    </row>
    <row r="55" spans="2:16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137622.19272430812</v>
      </c>
      <c r="E55" s="354">
        <f>IF(+I14&lt;F54,I14,D55)</f>
        <v>40013.210526315786</v>
      </c>
      <c r="F55" s="55">
        <f t="shared" si="34"/>
        <v>97608.982197992329</v>
      </c>
      <c r="G55" s="355">
        <f t="shared" si="32"/>
        <v>53375.105079695713</v>
      </c>
      <c r="H55" s="336">
        <f t="shared" si="33"/>
        <v>53375.105079695713</v>
      </c>
      <c r="I55" s="52">
        <f t="shared" si="35"/>
        <v>0</v>
      </c>
      <c r="J55" s="52"/>
      <c r="K55" s="115"/>
      <c r="L55" s="54">
        <f t="shared" si="36"/>
        <v>0</v>
      </c>
      <c r="M55" s="115"/>
      <c r="N55" s="54">
        <f t="shared" si="37"/>
        <v>0</v>
      </c>
      <c r="O55" s="54">
        <f t="shared" si="38"/>
        <v>0</v>
      </c>
      <c r="P55" s="1"/>
    </row>
    <row r="56" spans="2:16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97608.982197992329</v>
      </c>
      <c r="E56" s="354">
        <f>IF(+I14&lt;F55,I14,D56)</f>
        <v>40013.210526315786</v>
      </c>
      <c r="F56" s="55">
        <f t="shared" si="34"/>
        <v>57595.771671676543</v>
      </c>
      <c r="G56" s="355">
        <f t="shared" si="32"/>
        <v>48829.344510575356</v>
      </c>
      <c r="H56" s="336">
        <f t="shared" si="33"/>
        <v>48829.344510575356</v>
      </c>
      <c r="I56" s="52">
        <f t="shared" si="35"/>
        <v>0</v>
      </c>
      <c r="J56" s="52"/>
      <c r="K56" s="115"/>
      <c r="L56" s="54">
        <f t="shared" si="36"/>
        <v>0</v>
      </c>
      <c r="M56" s="115"/>
      <c r="N56" s="54">
        <f t="shared" si="37"/>
        <v>0</v>
      </c>
      <c r="O56" s="54">
        <f t="shared" si="38"/>
        <v>0</v>
      </c>
      <c r="P56" s="1"/>
    </row>
    <row r="57" spans="2:16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57595.771671676543</v>
      </c>
      <c r="E57" s="354">
        <f>IF(+I14&lt;F56,I14,D57)</f>
        <v>40013.210526315786</v>
      </c>
      <c r="F57" s="55">
        <f t="shared" si="34"/>
        <v>17582.561145360756</v>
      </c>
      <c r="G57" s="355">
        <f t="shared" si="32"/>
        <v>44283.583941454999</v>
      </c>
      <c r="H57" s="336">
        <f t="shared" si="33"/>
        <v>44283.583941454999</v>
      </c>
      <c r="I57" s="52">
        <f t="shared" si="35"/>
        <v>0</v>
      </c>
      <c r="J57" s="52"/>
      <c r="K57" s="115"/>
      <c r="L57" s="54">
        <f t="shared" si="36"/>
        <v>0</v>
      </c>
      <c r="M57" s="115"/>
      <c r="N57" s="54">
        <f t="shared" si="37"/>
        <v>0</v>
      </c>
      <c r="O57" s="54">
        <f t="shared" si="38"/>
        <v>0</v>
      </c>
      <c r="P57" s="1"/>
    </row>
    <row r="58" spans="2:16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17582.561145360756</v>
      </c>
      <c r="E58" s="354">
        <f>IF(+I14&lt;F57,I14,D58)</f>
        <v>17582.561145360756</v>
      </c>
      <c r="F58" s="55">
        <f t="shared" si="34"/>
        <v>0</v>
      </c>
      <c r="G58" s="355">
        <f t="shared" si="32"/>
        <v>18581.307710650275</v>
      </c>
      <c r="H58" s="336">
        <f t="shared" si="33"/>
        <v>18581.307710650275</v>
      </c>
      <c r="I58" s="52">
        <f t="shared" si="35"/>
        <v>0</v>
      </c>
      <c r="J58" s="52"/>
      <c r="K58" s="115"/>
      <c r="L58" s="54">
        <f t="shared" si="36"/>
        <v>0</v>
      </c>
      <c r="M58" s="115"/>
      <c r="N58" s="54">
        <f t="shared" si="37"/>
        <v>0</v>
      </c>
      <c r="O58" s="54">
        <f t="shared" si="38"/>
        <v>0</v>
      </c>
      <c r="P58" s="1"/>
    </row>
    <row r="59" spans="2:16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0</v>
      </c>
      <c r="E59" s="354">
        <f>IF(+I14&lt;F58,I14,D59)</f>
        <v>0</v>
      </c>
      <c r="F59" s="55">
        <f t="shared" si="34"/>
        <v>0</v>
      </c>
      <c r="G59" s="355">
        <f t="shared" si="32"/>
        <v>0</v>
      </c>
      <c r="H59" s="336">
        <f t="shared" si="33"/>
        <v>0</v>
      </c>
      <c r="I59" s="52">
        <f t="shared" si="35"/>
        <v>0</v>
      </c>
      <c r="J59" s="52"/>
      <c r="K59" s="115"/>
      <c r="L59" s="54">
        <f t="shared" si="36"/>
        <v>0</v>
      </c>
      <c r="M59" s="115"/>
      <c r="N59" s="54">
        <f t="shared" si="37"/>
        <v>0</v>
      </c>
      <c r="O59" s="54">
        <f t="shared" si="38"/>
        <v>0</v>
      </c>
      <c r="P59" s="1"/>
    </row>
    <row r="60" spans="2:16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354">
        <f>IF(+I14&lt;F59,I14,D60)</f>
        <v>0</v>
      </c>
      <c r="F60" s="55">
        <f t="shared" si="34"/>
        <v>0</v>
      </c>
      <c r="G60" s="355">
        <f t="shared" si="32"/>
        <v>0</v>
      </c>
      <c r="H60" s="336">
        <f t="shared" si="33"/>
        <v>0</v>
      </c>
      <c r="I60" s="52">
        <f t="shared" si="35"/>
        <v>0</v>
      </c>
      <c r="J60" s="52"/>
      <c r="K60" s="115"/>
      <c r="L60" s="54">
        <f t="shared" si="36"/>
        <v>0</v>
      </c>
      <c r="M60" s="115"/>
      <c r="N60" s="54">
        <f t="shared" si="37"/>
        <v>0</v>
      </c>
      <c r="O60" s="54">
        <f t="shared" si="38"/>
        <v>0</v>
      </c>
      <c r="P60" s="1"/>
    </row>
    <row r="61" spans="2:16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54">
        <f>IF(+I14&lt;F60,I14,D61)</f>
        <v>0</v>
      </c>
      <c r="F61" s="55">
        <f t="shared" si="34"/>
        <v>0</v>
      </c>
      <c r="G61" s="355">
        <f t="shared" si="32"/>
        <v>0</v>
      </c>
      <c r="H61" s="336">
        <f t="shared" si="33"/>
        <v>0</v>
      </c>
      <c r="I61" s="52">
        <f t="shared" si="35"/>
        <v>0</v>
      </c>
      <c r="J61" s="52"/>
      <c r="K61" s="115"/>
      <c r="L61" s="54">
        <f t="shared" si="36"/>
        <v>0</v>
      </c>
      <c r="M61" s="115"/>
      <c r="N61" s="54">
        <f t="shared" si="37"/>
        <v>0</v>
      </c>
      <c r="O61" s="54">
        <f t="shared" si="38"/>
        <v>0</v>
      </c>
      <c r="P61" s="1"/>
    </row>
    <row r="62" spans="2:16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54">
        <f>IF(+I14&lt;F61,I14,D62)</f>
        <v>0</v>
      </c>
      <c r="F62" s="55">
        <f t="shared" si="34"/>
        <v>0</v>
      </c>
      <c r="G62" s="355">
        <f t="shared" si="32"/>
        <v>0</v>
      </c>
      <c r="H62" s="336">
        <f t="shared" si="33"/>
        <v>0</v>
      </c>
      <c r="I62" s="52">
        <f t="shared" si="35"/>
        <v>0</v>
      </c>
      <c r="J62" s="52"/>
      <c r="K62" s="115"/>
      <c r="L62" s="54">
        <f t="shared" si="36"/>
        <v>0</v>
      </c>
      <c r="M62" s="115"/>
      <c r="N62" s="54">
        <f t="shared" si="37"/>
        <v>0</v>
      </c>
      <c r="O62" s="54">
        <f t="shared" si="38"/>
        <v>0</v>
      </c>
      <c r="P62" s="1"/>
    </row>
    <row r="63" spans="2:16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54">
        <f>IF(+I14&lt;F62,I14,D63)</f>
        <v>0</v>
      </c>
      <c r="F63" s="55">
        <f t="shared" si="34"/>
        <v>0</v>
      </c>
      <c r="G63" s="355">
        <f t="shared" si="32"/>
        <v>0</v>
      </c>
      <c r="H63" s="336">
        <f t="shared" si="33"/>
        <v>0</v>
      </c>
      <c r="I63" s="52">
        <f t="shared" si="35"/>
        <v>0</v>
      </c>
      <c r="J63" s="52"/>
      <c r="K63" s="115"/>
      <c r="L63" s="54">
        <f t="shared" si="36"/>
        <v>0</v>
      </c>
      <c r="M63" s="115"/>
      <c r="N63" s="54">
        <f t="shared" si="37"/>
        <v>0</v>
      </c>
      <c r="O63" s="54">
        <f t="shared" si="38"/>
        <v>0</v>
      </c>
      <c r="P63" s="1"/>
    </row>
    <row r="64" spans="2:16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54">
        <f>IF(+I14&lt;F63,I14,D64)</f>
        <v>0</v>
      </c>
      <c r="F64" s="55">
        <f t="shared" si="34"/>
        <v>0</v>
      </c>
      <c r="G64" s="355">
        <f t="shared" si="32"/>
        <v>0</v>
      </c>
      <c r="H64" s="336">
        <f t="shared" si="33"/>
        <v>0</v>
      </c>
      <c r="I64" s="52">
        <f t="shared" si="35"/>
        <v>0</v>
      </c>
      <c r="J64" s="52"/>
      <c r="K64" s="115"/>
      <c r="L64" s="54">
        <f t="shared" si="36"/>
        <v>0</v>
      </c>
      <c r="M64" s="115"/>
      <c r="N64" s="54">
        <f t="shared" si="37"/>
        <v>0</v>
      </c>
      <c r="O64" s="54">
        <f t="shared" si="38"/>
        <v>0</v>
      </c>
      <c r="P64" s="1"/>
    </row>
    <row r="65" spans="2:16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54">
        <f>IF(+I14&lt;F64,I14,D65)</f>
        <v>0</v>
      </c>
      <c r="F65" s="55">
        <f t="shared" si="34"/>
        <v>0</v>
      </c>
      <c r="G65" s="355">
        <f t="shared" si="32"/>
        <v>0</v>
      </c>
      <c r="H65" s="336">
        <f t="shared" si="33"/>
        <v>0</v>
      </c>
      <c r="I65" s="52">
        <f t="shared" si="35"/>
        <v>0</v>
      </c>
      <c r="J65" s="52"/>
      <c r="K65" s="115"/>
      <c r="L65" s="54">
        <f t="shared" si="36"/>
        <v>0</v>
      </c>
      <c r="M65" s="115"/>
      <c r="N65" s="54">
        <f t="shared" si="37"/>
        <v>0</v>
      </c>
      <c r="O65" s="54">
        <f t="shared" si="38"/>
        <v>0</v>
      </c>
      <c r="P65" s="1"/>
    </row>
    <row r="66" spans="2:16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54">
        <f>IF(+I14&lt;F65,I14,D66)</f>
        <v>0</v>
      </c>
      <c r="F66" s="55">
        <f t="shared" si="34"/>
        <v>0</v>
      </c>
      <c r="G66" s="355">
        <f t="shared" si="32"/>
        <v>0</v>
      </c>
      <c r="H66" s="336">
        <f t="shared" si="33"/>
        <v>0</v>
      </c>
      <c r="I66" s="52">
        <f t="shared" si="35"/>
        <v>0</v>
      </c>
      <c r="J66" s="52"/>
      <c r="K66" s="115"/>
      <c r="L66" s="54">
        <f t="shared" si="36"/>
        <v>0</v>
      </c>
      <c r="M66" s="115"/>
      <c r="N66" s="54">
        <f t="shared" si="37"/>
        <v>0</v>
      </c>
      <c r="O66" s="54">
        <f t="shared" si="38"/>
        <v>0</v>
      </c>
      <c r="P66" s="1"/>
    </row>
    <row r="67" spans="2:16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54">
        <f>IF(+I14&lt;F66,I14,D67)</f>
        <v>0</v>
      </c>
      <c r="F67" s="55">
        <f t="shared" si="34"/>
        <v>0</v>
      </c>
      <c r="G67" s="355">
        <f t="shared" si="32"/>
        <v>0</v>
      </c>
      <c r="H67" s="336">
        <f t="shared" si="33"/>
        <v>0</v>
      </c>
      <c r="I67" s="52">
        <f t="shared" si="35"/>
        <v>0</v>
      </c>
      <c r="J67" s="52"/>
      <c r="K67" s="115"/>
      <c r="L67" s="54">
        <f t="shared" si="36"/>
        <v>0</v>
      </c>
      <c r="M67" s="115"/>
      <c r="N67" s="54">
        <f t="shared" si="37"/>
        <v>0</v>
      </c>
      <c r="O67" s="54">
        <f t="shared" si="38"/>
        <v>0</v>
      </c>
      <c r="P67" s="1"/>
    </row>
    <row r="68" spans="2:16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54">
        <f>IF(+I14&lt;F67,I14,D68)</f>
        <v>0</v>
      </c>
      <c r="F68" s="55">
        <f t="shared" si="34"/>
        <v>0</v>
      </c>
      <c r="G68" s="355">
        <f t="shared" si="32"/>
        <v>0</v>
      </c>
      <c r="H68" s="336">
        <f t="shared" si="33"/>
        <v>0</v>
      </c>
      <c r="I68" s="52">
        <f t="shared" si="35"/>
        <v>0</v>
      </c>
      <c r="J68" s="52"/>
      <c r="K68" s="115"/>
      <c r="L68" s="54">
        <f t="shared" si="36"/>
        <v>0</v>
      </c>
      <c r="M68" s="115"/>
      <c r="N68" s="54">
        <f t="shared" si="37"/>
        <v>0</v>
      </c>
      <c r="O68" s="54">
        <f t="shared" si="38"/>
        <v>0</v>
      </c>
      <c r="P68" s="1"/>
    </row>
    <row r="69" spans="2:16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54">
        <f>IF(+I14&lt;F68,I14,D69)</f>
        <v>0</v>
      </c>
      <c r="F69" s="55">
        <f t="shared" si="34"/>
        <v>0</v>
      </c>
      <c r="G69" s="355">
        <f t="shared" si="32"/>
        <v>0</v>
      </c>
      <c r="H69" s="336">
        <f t="shared" si="33"/>
        <v>0</v>
      </c>
      <c r="I69" s="52">
        <f t="shared" si="35"/>
        <v>0</v>
      </c>
      <c r="J69" s="52"/>
      <c r="K69" s="115"/>
      <c r="L69" s="54">
        <f t="shared" si="36"/>
        <v>0</v>
      </c>
      <c r="M69" s="115"/>
      <c r="N69" s="54">
        <f t="shared" si="37"/>
        <v>0</v>
      </c>
      <c r="O69" s="54">
        <f t="shared" si="38"/>
        <v>0</v>
      </c>
      <c r="P69" s="1"/>
    </row>
    <row r="70" spans="2:16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54">
        <f>IF(+I14&lt;F69,I14,D70)</f>
        <v>0</v>
      </c>
      <c r="F70" s="55">
        <f t="shared" si="34"/>
        <v>0</v>
      </c>
      <c r="G70" s="355">
        <f t="shared" si="32"/>
        <v>0</v>
      </c>
      <c r="H70" s="336">
        <f t="shared" si="33"/>
        <v>0</v>
      </c>
      <c r="I70" s="52">
        <f t="shared" si="35"/>
        <v>0</v>
      </c>
      <c r="J70" s="52"/>
      <c r="K70" s="115"/>
      <c r="L70" s="54">
        <f t="shared" si="36"/>
        <v>0</v>
      </c>
      <c r="M70" s="115"/>
      <c r="N70" s="54">
        <f t="shared" si="37"/>
        <v>0</v>
      </c>
      <c r="O70" s="54">
        <f t="shared" si="38"/>
        <v>0</v>
      </c>
      <c r="P70" s="1"/>
    </row>
    <row r="71" spans="2:16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54">
        <f>IF(+I14&lt;F70,I14,D71)</f>
        <v>0</v>
      </c>
      <c r="F71" s="55">
        <f t="shared" si="34"/>
        <v>0</v>
      </c>
      <c r="G71" s="355">
        <f t="shared" si="32"/>
        <v>0</v>
      </c>
      <c r="H71" s="336">
        <f t="shared" si="33"/>
        <v>0</v>
      </c>
      <c r="I71" s="52">
        <f t="shared" si="35"/>
        <v>0</v>
      </c>
      <c r="J71" s="52"/>
      <c r="K71" s="115"/>
      <c r="L71" s="54">
        <f t="shared" si="36"/>
        <v>0</v>
      </c>
      <c r="M71" s="115"/>
      <c r="N71" s="54">
        <f t="shared" si="37"/>
        <v>0</v>
      </c>
      <c r="O71" s="54">
        <f t="shared" si="38"/>
        <v>0</v>
      </c>
      <c r="P71" s="1"/>
    </row>
    <row r="72" spans="2:16" ht="13.5" thickBot="1">
      <c r="B72" s="7" t="str">
        <f t="shared" si="6"/>
        <v/>
      </c>
      <c r="C72" s="58">
        <f>IF(D11="","-",+C71+1)</f>
        <v>2063</v>
      </c>
      <c r="D72" s="59">
        <f>IF(F71+SUM(E$17:E71)=D$10,F71,D$10-SUM(E$17:E71))</f>
        <v>0</v>
      </c>
      <c r="E72" s="357">
        <f>IF(+I14&lt;F71,I14,D72)</f>
        <v>0</v>
      </c>
      <c r="F72" s="59">
        <f t="shared" si="34"/>
        <v>0</v>
      </c>
      <c r="G72" s="59">
        <f t="shared" si="32"/>
        <v>0</v>
      </c>
      <c r="H72" s="59">
        <f t="shared" si="33"/>
        <v>0</v>
      </c>
      <c r="I72" s="61">
        <f t="shared" si="35"/>
        <v>0</v>
      </c>
      <c r="J72" s="52"/>
      <c r="K72" s="116"/>
      <c r="L72" s="62">
        <f t="shared" si="36"/>
        <v>0</v>
      </c>
      <c r="M72" s="116"/>
      <c r="N72" s="62">
        <f t="shared" si="37"/>
        <v>0</v>
      </c>
      <c r="O72" s="62">
        <f t="shared" si="38"/>
        <v>0</v>
      </c>
      <c r="P72" s="1"/>
    </row>
    <row r="73" spans="2:16">
      <c r="C73" s="12" t="s">
        <v>77</v>
      </c>
      <c r="D73" s="266"/>
      <c r="E73" s="266">
        <f>SUM(E17:E72)</f>
        <v>1520501.9999999993</v>
      </c>
      <c r="F73" s="266"/>
      <c r="G73" s="266">
        <f>SUM(G17:G72)</f>
        <v>5452658.4845339321</v>
      </c>
      <c r="H73" s="266">
        <f>SUM(H17:H72)</f>
        <v>5452658.4845339321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.25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6 of 36</v>
      </c>
    </row>
    <row r="84" spans="1:16" ht="18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8.7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5.75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2025</v>
      </c>
      <c r="M86" s="360" t="s">
        <v>8</v>
      </c>
      <c r="N86" s="361" t="s">
        <v>153</v>
      </c>
      <c r="O86" s="362" t="s">
        <v>10</v>
      </c>
      <c r="P86" s="1"/>
    </row>
    <row r="87" spans="1:16" ht="1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146563.19674666296</v>
      </c>
      <c r="N87" s="364">
        <f>IF(J92&lt;D11,0,VLOOKUP(J92,C17:O72,11))</f>
        <v>146563.19674666296</v>
      </c>
      <c r="O87" s="67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154324.55257674988</v>
      </c>
      <c r="N88" s="367">
        <f>IF(J92&lt;D11,0,VLOOKUP(J92,C99:P154,7))</f>
        <v>154324.55257674988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Pryor Junction 138/69 Upgrade Transf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7761.355830086919</v>
      </c>
      <c r="N89" s="369">
        <f>+N88-N87</f>
        <v>7761.355830086919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TP2006090</v>
      </c>
      <c r="E91" s="74" t="str">
        <f>E9</f>
        <v>SPP Project ID =</v>
      </c>
      <c r="F91" s="513">
        <f>F9</f>
        <v>110</v>
      </c>
      <c r="G91" s="74"/>
      <c r="H91" s="74"/>
      <c r="I91" s="74"/>
      <c r="J91" s="74"/>
    </row>
    <row r="92" spans="1:16">
      <c r="C92" s="128" t="s">
        <v>226</v>
      </c>
      <c r="D92" s="335">
        <v>1520502</v>
      </c>
      <c r="E92" s="1" t="s">
        <v>94</v>
      </c>
      <c r="H92" s="2"/>
      <c r="I92" s="2"/>
      <c r="J92" s="36">
        <f>+'PSO.WS.G.BPU.ATRR.True-up'!M16</f>
        <v>2025</v>
      </c>
      <c r="K92" s="34"/>
      <c r="L92" s="266" t="s">
        <v>95</v>
      </c>
      <c r="P92" s="1"/>
    </row>
    <row r="93" spans="1:16">
      <c r="C93" s="37" t="s">
        <v>53</v>
      </c>
      <c r="D93" s="86">
        <f>IF(D11=I10,"",D11)</f>
        <v>2008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7" t="s">
        <v>55</v>
      </c>
      <c r="D94" s="372">
        <f>IF(D11=I10,"",D12)</f>
        <v>4</v>
      </c>
      <c r="E94" s="37" t="s">
        <v>56</v>
      </c>
      <c r="F94" s="2"/>
      <c r="G94" s="2"/>
      <c r="J94" s="41">
        <f>'PSO.WS.G.BPU.ATRR.True-up'!$F$81</f>
        <v>0.11962108666911044</v>
      </c>
      <c r="K94" s="8"/>
      <c r="L94" t="s">
        <v>96</v>
      </c>
      <c r="P94" s="1"/>
    </row>
    <row r="95" spans="1:16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0.11962108666911044</v>
      </c>
      <c r="K95" s="8"/>
      <c r="L95" s="266" t="s">
        <v>60</v>
      </c>
      <c r="M95" s="8"/>
      <c r="N95" s="8"/>
      <c r="O95" s="8"/>
      <c r="P95" s="1"/>
    </row>
    <row r="96" spans="1:16" ht="13.5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41095</v>
      </c>
      <c r="K96" s="266"/>
      <c r="L96" s="266"/>
      <c r="M96" s="266"/>
      <c r="N96" s="266"/>
      <c r="O96" s="266"/>
      <c r="P96" s="1"/>
    </row>
    <row r="97" spans="1:16" ht="38.25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101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>
      <c r="C99" s="50">
        <f>IF(D93= "","-",D93)</f>
        <v>2008</v>
      </c>
      <c r="D99" s="348">
        <v>0</v>
      </c>
      <c r="E99" s="352">
        <v>19125</v>
      </c>
      <c r="F99" s="351">
        <v>1501348</v>
      </c>
      <c r="G99" s="376">
        <v>750764</v>
      </c>
      <c r="H99" s="377">
        <v>138367</v>
      </c>
      <c r="I99" s="378">
        <v>138367</v>
      </c>
      <c r="J99" s="54">
        <f t="shared" ref="J99:J130" si="39">+I99-H99</f>
        <v>0</v>
      </c>
      <c r="K99" s="54"/>
      <c r="L99" s="117">
        <v>138367</v>
      </c>
      <c r="M99" s="53">
        <f t="shared" ref="M99:M130" si="40">IF(L99&lt;&gt;0,+H99-L99,0)</f>
        <v>0</v>
      </c>
      <c r="N99" s="117">
        <v>138367</v>
      </c>
      <c r="O99" s="53">
        <f t="shared" ref="O99:O130" si="41">IF(N99&lt;&gt;0,+I99-N99,0)</f>
        <v>0</v>
      </c>
      <c r="P99" s="53">
        <f t="shared" ref="P99:P130" si="42">+O99-M99</f>
        <v>0</v>
      </c>
    </row>
    <row r="100" spans="1:16">
      <c r="B100" s="7" t="str">
        <f>IF(D100=F99,"","IU")</f>
        <v>IU</v>
      </c>
      <c r="C100" s="50">
        <f>IF(D93="","-",+C99+1)</f>
        <v>2009</v>
      </c>
      <c r="D100" s="348">
        <v>1501377</v>
      </c>
      <c r="E100" s="352">
        <v>27152</v>
      </c>
      <c r="F100" s="351">
        <v>1474225</v>
      </c>
      <c r="G100" s="351">
        <v>1487801</v>
      </c>
      <c r="H100" s="352">
        <v>244680.82784018715</v>
      </c>
      <c r="I100" s="353">
        <v>244680.82784018715</v>
      </c>
      <c r="J100" s="54">
        <f t="shared" si="39"/>
        <v>0</v>
      </c>
      <c r="K100" s="54"/>
      <c r="L100" s="379">
        <f t="shared" ref="L100:L105" si="43">H100</f>
        <v>244680.82784018715</v>
      </c>
      <c r="M100" s="380">
        <f t="shared" si="40"/>
        <v>0</v>
      </c>
      <c r="N100" s="379">
        <f t="shared" ref="N100:N105" si="44">I100</f>
        <v>244680.82784018715</v>
      </c>
      <c r="O100" s="54">
        <f t="shared" si="41"/>
        <v>0</v>
      </c>
      <c r="P100" s="54">
        <f t="shared" si="42"/>
        <v>0</v>
      </c>
    </row>
    <row r="101" spans="1:16">
      <c r="B101" s="7" t="str">
        <f t="shared" ref="B101:B154" si="45">IF(D101=F100,"","IU")</f>
        <v/>
      </c>
      <c r="C101" s="50">
        <f>IF(D93="","-",+C100+1)</f>
        <v>2010</v>
      </c>
      <c r="D101" s="348">
        <v>1474225</v>
      </c>
      <c r="E101" s="352">
        <v>29814</v>
      </c>
      <c r="F101" s="351">
        <v>1444411</v>
      </c>
      <c r="G101" s="351">
        <v>1459318</v>
      </c>
      <c r="H101" s="352">
        <v>264494.5477733505</v>
      </c>
      <c r="I101" s="353">
        <v>264494.5477733505</v>
      </c>
      <c r="J101" s="54">
        <f t="shared" si="39"/>
        <v>0</v>
      </c>
      <c r="K101" s="54"/>
      <c r="L101" s="379">
        <f t="shared" si="43"/>
        <v>264494.5477733505</v>
      </c>
      <c r="M101" s="380">
        <f t="shared" si="40"/>
        <v>0</v>
      </c>
      <c r="N101" s="379">
        <f t="shared" si="44"/>
        <v>264494.5477733505</v>
      </c>
      <c r="O101" s="54">
        <f t="shared" si="41"/>
        <v>0</v>
      </c>
      <c r="P101" s="54">
        <f t="shared" si="42"/>
        <v>0</v>
      </c>
    </row>
    <row r="102" spans="1:16">
      <c r="B102" s="7" t="str">
        <f t="shared" si="45"/>
        <v/>
      </c>
      <c r="C102" s="50">
        <f>IF(D93="","-",+C101+1)</f>
        <v>2011</v>
      </c>
      <c r="D102" s="348">
        <v>1444411</v>
      </c>
      <c r="E102" s="352">
        <v>29240</v>
      </c>
      <c r="F102" s="351">
        <v>1415171</v>
      </c>
      <c r="G102" s="351">
        <v>1429791</v>
      </c>
      <c r="H102" s="352">
        <v>229143.9952359481</v>
      </c>
      <c r="I102" s="353">
        <v>229143.9952359481</v>
      </c>
      <c r="J102" s="54">
        <f t="shared" si="39"/>
        <v>0</v>
      </c>
      <c r="K102" s="54"/>
      <c r="L102" s="379">
        <f t="shared" si="43"/>
        <v>229143.9952359481</v>
      </c>
      <c r="M102" s="380">
        <f t="shared" si="40"/>
        <v>0</v>
      </c>
      <c r="N102" s="379">
        <f t="shared" si="44"/>
        <v>229143.9952359481</v>
      </c>
      <c r="O102" s="54">
        <f t="shared" si="41"/>
        <v>0</v>
      </c>
      <c r="P102" s="54">
        <f t="shared" si="42"/>
        <v>0</v>
      </c>
    </row>
    <row r="103" spans="1:16">
      <c r="B103" s="7" t="str">
        <f t="shared" si="45"/>
        <v/>
      </c>
      <c r="C103" s="50">
        <f>IF(D93="","-",+C102+1)</f>
        <v>2012</v>
      </c>
      <c r="D103" s="348">
        <v>1415171</v>
      </c>
      <c r="E103" s="352">
        <v>29240</v>
      </c>
      <c r="F103" s="351">
        <v>1385931</v>
      </c>
      <c r="G103" s="351">
        <v>1400551</v>
      </c>
      <c r="H103" s="352">
        <v>230716.93888695308</v>
      </c>
      <c r="I103" s="353">
        <v>230716.93888695308</v>
      </c>
      <c r="J103" s="54">
        <v>0</v>
      </c>
      <c r="K103" s="54"/>
      <c r="L103" s="379">
        <f t="shared" si="43"/>
        <v>230716.93888695308</v>
      </c>
      <c r="M103" s="380">
        <f t="shared" ref="M103:M108" si="46">IF(L103&lt;&gt;0,+H103-L103,0)</f>
        <v>0</v>
      </c>
      <c r="N103" s="379">
        <f t="shared" si="44"/>
        <v>230716.93888695308</v>
      </c>
      <c r="O103" s="54">
        <f t="shared" ref="O103:O108" si="47">IF(N103&lt;&gt;0,+I103-N103,0)</f>
        <v>0</v>
      </c>
      <c r="P103" s="54">
        <f t="shared" ref="P103:P108" si="48">+O103-M103</f>
        <v>0</v>
      </c>
    </row>
    <row r="104" spans="1:16">
      <c r="B104" s="7" t="str">
        <f t="shared" si="45"/>
        <v/>
      </c>
      <c r="C104" s="50">
        <f>IF(D93="","-",+C103+1)</f>
        <v>2013</v>
      </c>
      <c r="D104" s="348">
        <v>1385931</v>
      </c>
      <c r="E104" s="352">
        <v>29240</v>
      </c>
      <c r="F104" s="351">
        <v>1356691</v>
      </c>
      <c r="G104" s="351">
        <v>1371311</v>
      </c>
      <c r="H104" s="352">
        <v>226625.94850487544</v>
      </c>
      <c r="I104" s="353">
        <v>226625.94850487544</v>
      </c>
      <c r="J104" s="54">
        <v>0</v>
      </c>
      <c r="K104" s="54"/>
      <c r="L104" s="379">
        <f t="shared" si="43"/>
        <v>226625.94850487544</v>
      </c>
      <c r="M104" s="380">
        <f t="shared" si="46"/>
        <v>0</v>
      </c>
      <c r="N104" s="379">
        <f t="shared" si="44"/>
        <v>226625.94850487544</v>
      </c>
      <c r="O104" s="54">
        <f t="shared" si="47"/>
        <v>0</v>
      </c>
      <c r="P104" s="54">
        <f t="shared" si="48"/>
        <v>0</v>
      </c>
    </row>
    <row r="105" spans="1:16">
      <c r="B105" s="7" t="str">
        <f t="shared" si="45"/>
        <v/>
      </c>
      <c r="C105" s="50">
        <f>IF(D93="","-",+C104+1)</f>
        <v>2014</v>
      </c>
      <c r="D105" s="348">
        <v>1356691</v>
      </c>
      <c r="E105" s="352">
        <v>29240</v>
      </c>
      <c r="F105" s="351">
        <v>1327451</v>
      </c>
      <c r="G105" s="351">
        <v>1342071</v>
      </c>
      <c r="H105" s="352">
        <v>217929.69653942893</v>
      </c>
      <c r="I105" s="353">
        <v>217929.69653942893</v>
      </c>
      <c r="J105" s="54">
        <v>0</v>
      </c>
      <c r="K105" s="54"/>
      <c r="L105" s="379">
        <f t="shared" si="43"/>
        <v>217929.69653942893</v>
      </c>
      <c r="M105" s="380">
        <f t="shared" si="46"/>
        <v>0</v>
      </c>
      <c r="N105" s="379">
        <f t="shared" si="44"/>
        <v>217929.69653942893</v>
      </c>
      <c r="O105" s="54">
        <f t="shared" si="47"/>
        <v>0</v>
      </c>
      <c r="P105" s="54">
        <f t="shared" si="48"/>
        <v>0</v>
      </c>
    </row>
    <row r="106" spans="1:16">
      <c r="B106" s="7" t="str">
        <f t="shared" si="45"/>
        <v/>
      </c>
      <c r="C106" s="50">
        <f>IF(D93="","-",+C105+1)</f>
        <v>2015</v>
      </c>
      <c r="D106" s="348">
        <v>1327451</v>
      </c>
      <c r="E106" s="352">
        <v>29240</v>
      </c>
      <c r="F106" s="351">
        <v>1298211</v>
      </c>
      <c r="G106" s="351">
        <v>1312831</v>
      </c>
      <c r="H106" s="352">
        <v>208365.23426858318</v>
      </c>
      <c r="I106" s="353">
        <v>208365.23426858318</v>
      </c>
      <c r="J106" s="54">
        <f t="shared" si="39"/>
        <v>0</v>
      </c>
      <c r="K106" s="54"/>
      <c r="L106" s="379">
        <f t="shared" ref="L106:L111" si="49">H106</f>
        <v>208365.23426858318</v>
      </c>
      <c r="M106" s="380">
        <f t="shared" si="46"/>
        <v>0</v>
      </c>
      <c r="N106" s="379">
        <f t="shared" ref="N106:N111" si="50">I106</f>
        <v>208365.23426858318</v>
      </c>
      <c r="O106" s="54">
        <f t="shared" si="47"/>
        <v>0</v>
      </c>
      <c r="P106" s="54">
        <f t="shared" si="48"/>
        <v>0</v>
      </c>
    </row>
    <row r="107" spans="1:16">
      <c r="B107" s="7" t="str">
        <f t="shared" si="45"/>
        <v/>
      </c>
      <c r="C107" s="50">
        <f>IF(D93="","-",+C106+1)</f>
        <v>2016</v>
      </c>
      <c r="D107" s="348">
        <v>1298211</v>
      </c>
      <c r="E107" s="352">
        <v>33054</v>
      </c>
      <c r="F107" s="351">
        <v>1265157</v>
      </c>
      <c r="G107" s="351">
        <v>1281684</v>
      </c>
      <c r="H107" s="352">
        <v>198283.25268027262</v>
      </c>
      <c r="I107" s="353">
        <v>198283.25268027262</v>
      </c>
      <c r="J107" s="54">
        <f t="shared" si="39"/>
        <v>0</v>
      </c>
      <c r="K107" s="54"/>
      <c r="L107" s="379">
        <f t="shared" si="49"/>
        <v>198283.25268027262</v>
      </c>
      <c r="M107" s="380">
        <f t="shared" si="46"/>
        <v>0</v>
      </c>
      <c r="N107" s="379">
        <f t="shared" si="50"/>
        <v>198283.25268027262</v>
      </c>
      <c r="O107" s="54">
        <f t="shared" si="47"/>
        <v>0</v>
      </c>
      <c r="P107" s="54">
        <f t="shared" si="48"/>
        <v>0</v>
      </c>
    </row>
    <row r="108" spans="1:16">
      <c r="B108" s="7" t="str">
        <f t="shared" si="45"/>
        <v/>
      </c>
      <c r="C108" s="50">
        <f>IF(D93="","-",+C107+1)</f>
        <v>2017</v>
      </c>
      <c r="D108" s="348">
        <v>1265157</v>
      </c>
      <c r="E108" s="352">
        <v>33054</v>
      </c>
      <c r="F108" s="351">
        <v>1232103</v>
      </c>
      <c r="G108" s="351">
        <v>1248630</v>
      </c>
      <c r="H108" s="352">
        <v>191445.86392166355</v>
      </c>
      <c r="I108" s="353">
        <v>191445.86392166355</v>
      </c>
      <c r="J108" s="54">
        <f t="shared" si="39"/>
        <v>0</v>
      </c>
      <c r="K108" s="54"/>
      <c r="L108" s="379">
        <f t="shared" si="49"/>
        <v>191445.86392166355</v>
      </c>
      <c r="M108" s="380">
        <f t="shared" si="46"/>
        <v>0</v>
      </c>
      <c r="N108" s="379">
        <f t="shared" si="50"/>
        <v>191445.86392166355</v>
      </c>
      <c r="O108" s="54">
        <f t="shared" si="47"/>
        <v>0</v>
      </c>
      <c r="P108" s="54">
        <f t="shared" si="48"/>
        <v>0</v>
      </c>
    </row>
    <row r="109" spans="1:16">
      <c r="B109" s="7" t="str">
        <f t="shared" si="45"/>
        <v/>
      </c>
      <c r="C109" s="50">
        <f>IF(D93="","-",+C108+1)</f>
        <v>2018</v>
      </c>
      <c r="D109" s="348">
        <v>1232103</v>
      </c>
      <c r="E109" s="352">
        <v>35361</v>
      </c>
      <c r="F109" s="351">
        <v>1196742</v>
      </c>
      <c r="G109" s="351">
        <v>1214422.5</v>
      </c>
      <c r="H109" s="352">
        <v>160125.3839048628</v>
      </c>
      <c r="I109" s="353">
        <v>160125.3839048628</v>
      </c>
      <c r="J109" s="54">
        <f t="shared" si="39"/>
        <v>0</v>
      </c>
      <c r="K109" s="54"/>
      <c r="L109" s="379">
        <f t="shared" si="49"/>
        <v>160125.3839048628</v>
      </c>
      <c r="M109" s="380">
        <f t="shared" ref="M109" si="51">IF(L109&lt;&gt;0,+H109-L109,0)</f>
        <v>0</v>
      </c>
      <c r="N109" s="379">
        <f t="shared" si="50"/>
        <v>160125.3839048628</v>
      </c>
      <c r="O109" s="54">
        <f t="shared" ref="O109" si="52">IF(N109&lt;&gt;0,+I109-N109,0)</f>
        <v>0</v>
      </c>
      <c r="P109" s="54">
        <f t="shared" ref="P109" si="53">+O109-M109</f>
        <v>0</v>
      </c>
    </row>
    <row r="110" spans="1:16">
      <c r="B110" s="7" t="str">
        <f t="shared" si="45"/>
        <v/>
      </c>
      <c r="C110" s="50">
        <f>IF(D93="","-",+C109+1)</f>
        <v>2019</v>
      </c>
      <c r="D110" s="348">
        <v>1196742</v>
      </c>
      <c r="E110" s="352">
        <v>37085</v>
      </c>
      <c r="F110" s="351">
        <v>1159657</v>
      </c>
      <c r="G110" s="351">
        <v>1178199.5</v>
      </c>
      <c r="H110" s="352">
        <v>158573.89397118561</v>
      </c>
      <c r="I110" s="353">
        <v>158573.89397118561</v>
      </c>
      <c r="J110" s="54">
        <f t="shared" si="39"/>
        <v>0</v>
      </c>
      <c r="K110" s="54"/>
      <c r="L110" s="379">
        <f t="shared" si="49"/>
        <v>158573.89397118561</v>
      </c>
      <c r="M110" s="380">
        <f t="shared" ref="M110" si="54">IF(L110&lt;&gt;0,+H110-L110,0)</f>
        <v>0</v>
      </c>
      <c r="N110" s="379">
        <f t="shared" si="50"/>
        <v>158573.89397118561</v>
      </c>
      <c r="O110" s="54">
        <f t="shared" si="41"/>
        <v>0</v>
      </c>
      <c r="P110" s="54">
        <f t="shared" si="42"/>
        <v>0</v>
      </c>
    </row>
    <row r="111" spans="1:16">
      <c r="B111" s="7" t="str">
        <f t="shared" si="45"/>
        <v/>
      </c>
      <c r="C111" s="50">
        <f>IF(D93="","-",+C110+1)</f>
        <v>2020</v>
      </c>
      <c r="D111" s="348">
        <v>1159657</v>
      </c>
      <c r="E111" s="352">
        <v>35361</v>
      </c>
      <c r="F111" s="351">
        <v>1124296</v>
      </c>
      <c r="G111" s="351">
        <v>1141976.5</v>
      </c>
      <c r="H111" s="352">
        <v>167027.75084448946</v>
      </c>
      <c r="I111" s="353">
        <v>167027.75084448946</v>
      </c>
      <c r="J111" s="54">
        <f t="shared" si="39"/>
        <v>0</v>
      </c>
      <c r="K111" s="54"/>
      <c r="L111" s="379">
        <f t="shared" si="49"/>
        <v>167027.75084448946</v>
      </c>
      <c r="M111" s="380">
        <f t="shared" ref="M111" si="55">IF(L111&lt;&gt;0,+H111-L111,0)</f>
        <v>0</v>
      </c>
      <c r="N111" s="379">
        <f t="shared" si="50"/>
        <v>167027.75084448946</v>
      </c>
      <c r="O111" s="54">
        <f t="shared" si="41"/>
        <v>0</v>
      </c>
      <c r="P111" s="54">
        <f t="shared" si="42"/>
        <v>0</v>
      </c>
    </row>
    <row r="112" spans="1:16">
      <c r="B112" s="7" t="str">
        <f t="shared" si="45"/>
        <v/>
      </c>
      <c r="C112" s="50">
        <f>IF(D93="","-",+C111+1)</f>
        <v>2021</v>
      </c>
      <c r="D112" s="348">
        <v>1124296</v>
      </c>
      <c r="E112" s="352">
        <v>37085</v>
      </c>
      <c r="F112" s="351">
        <v>1087211</v>
      </c>
      <c r="G112" s="351">
        <v>1105753.5</v>
      </c>
      <c r="H112" s="352">
        <v>162911.77916931669</v>
      </c>
      <c r="I112" s="353">
        <v>162911.77916931669</v>
      </c>
      <c r="J112" s="54">
        <f t="shared" si="39"/>
        <v>0</v>
      </c>
      <c r="K112" s="54"/>
      <c r="L112" s="379">
        <f t="shared" ref="L112" si="56">H112</f>
        <v>162911.77916931669</v>
      </c>
      <c r="M112" s="380">
        <f t="shared" ref="M112" si="57">IF(L112&lt;&gt;0,+H112-L112,0)</f>
        <v>0</v>
      </c>
      <c r="N112" s="379">
        <f t="shared" ref="N112" si="58">I112</f>
        <v>162911.77916931669</v>
      </c>
      <c r="O112" s="54">
        <f t="shared" si="41"/>
        <v>0</v>
      </c>
      <c r="P112" s="54">
        <f t="shared" si="42"/>
        <v>0</v>
      </c>
    </row>
    <row r="113" spans="2:16">
      <c r="B113" s="7" t="str">
        <f t="shared" si="45"/>
        <v/>
      </c>
      <c r="C113" s="50">
        <f>IF(D93="","-",+C112+1)</f>
        <v>2022</v>
      </c>
      <c r="D113" s="348">
        <v>1087211</v>
      </c>
      <c r="E113" s="352">
        <v>38987</v>
      </c>
      <c r="F113" s="351">
        <v>1048224</v>
      </c>
      <c r="G113" s="351">
        <v>1067717.5</v>
      </c>
      <c r="H113" s="352">
        <v>156630.9466717566</v>
      </c>
      <c r="I113" s="353">
        <v>156630.9466717566</v>
      </c>
      <c r="J113" s="54">
        <f t="shared" si="39"/>
        <v>0</v>
      </c>
      <c r="K113" s="54"/>
      <c r="L113" s="379">
        <f t="shared" ref="L113" si="59">H113</f>
        <v>156630.9466717566</v>
      </c>
      <c r="M113" s="380">
        <f t="shared" ref="M113" si="60">IF(L113&lt;&gt;0,+H113-L113,0)</f>
        <v>0</v>
      </c>
      <c r="N113" s="379">
        <f t="shared" ref="N113" si="61">I113</f>
        <v>156630.9466717566</v>
      </c>
      <c r="O113" s="54">
        <f t="shared" ref="O113" si="62">IF(N113&lt;&gt;0,+I113-N113,0)</f>
        <v>0</v>
      </c>
      <c r="P113" s="54">
        <f t="shared" ref="P113" si="63">+O113-M113</f>
        <v>0</v>
      </c>
    </row>
    <row r="114" spans="2:16">
      <c r="B114" s="7" t="str">
        <f t="shared" si="45"/>
        <v/>
      </c>
      <c r="C114" s="50">
        <f>IF(D93="","-",+C113+1)</f>
        <v>2023</v>
      </c>
      <c r="D114" s="348">
        <v>1048224</v>
      </c>
      <c r="E114" s="352">
        <v>40013</v>
      </c>
      <c r="F114" s="351">
        <v>1008211</v>
      </c>
      <c r="G114" s="351">
        <v>1028217.5</v>
      </c>
      <c r="H114" s="352">
        <v>157463.25492505005</v>
      </c>
      <c r="I114" s="353">
        <v>157463.25492505005</v>
      </c>
      <c r="J114" s="54">
        <f t="shared" si="39"/>
        <v>0</v>
      </c>
      <c r="K114" s="54"/>
      <c r="L114" s="379">
        <f t="shared" ref="L114" si="64">H114</f>
        <v>157463.25492505005</v>
      </c>
      <c r="M114" s="380">
        <f t="shared" ref="M114" si="65">IF(L114&lt;&gt;0,+H114-L114,0)</f>
        <v>0</v>
      </c>
      <c r="N114" s="379">
        <f t="shared" ref="N114" si="66">I114</f>
        <v>157463.25492505005</v>
      </c>
      <c r="O114" s="54">
        <f t="shared" ref="O114" si="67">IF(N114&lt;&gt;0,+I114-N114,0)</f>
        <v>0</v>
      </c>
      <c r="P114" s="54">
        <f t="shared" ref="P114" si="68">+O114-M114</f>
        <v>0</v>
      </c>
    </row>
    <row r="115" spans="2:16">
      <c r="B115" s="7" t="str">
        <f t="shared" si="45"/>
        <v/>
      </c>
      <c r="C115" s="50">
        <f>IF(D93="","-",+C114+1)</f>
        <v>2024</v>
      </c>
      <c r="D115" s="348">
        <v>1008211</v>
      </c>
      <c r="E115" s="352">
        <v>41095</v>
      </c>
      <c r="F115" s="351">
        <v>967116</v>
      </c>
      <c r="G115" s="351">
        <v>987663.5</v>
      </c>
      <c r="H115" s="352">
        <v>173756.68699444705</v>
      </c>
      <c r="I115" s="353">
        <v>173756.68699444705</v>
      </c>
      <c r="J115" s="54">
        <f t="shared" si="39"/>
        <v>0</v>
      </c>
      <c r="K115" s="54"/>
      <c r="L115" s="379">
        <f t="shared" ref="L115" si="69">H115</f>
        <v>173756.68699444705</v>
      </c>
      <c r="M115" s="380">
        <f t="shared" ref="M115" si="70">IF(L115&lt;&gt;0,+H115-L115,0)</f>
        <v>0</v>
      </c>
      <c r="N115" s="379">
        <f t="shared" ref="N115" si="71">I115</f>
        <v>173756.68699444705</v>
      </c>
      <c r="O115" s="54">
        <f t="shared" si="41"/>
        <v>0</v>
      </c>
      <c r="P115" s="54">
        <f t="shared" si="42"/>
        <v>0</v>
      </c>
    </row>
    <row r="116" spans="2:16">
      <c r="B116" s="7" t="str">
        <f t="shared" si="45"/>
        <v/>
      </c>
      <c r="C116" s="50">
        <f>IF(D93="","-",+C115+1)</f>
        <v>2025</v>
      </c>
      <c r="D116" s="12">
        <f>IF(F115+SUM(E$99:E115)=D$92,F115,D$92-SUM(E$99:E115))</f>
        <v>967116</v>
      </c>
      <c r="E116" s="355">
        <f>IF(+J96&lt;F115,J96,D116)</f>
        <v>41095</v>
      </c>
      <c r="F116" s="55">
        <f t="shared" ref="F116:F130" si="72">+D116-E116</f>
        <v>926021</v>
      </c>
      <c r="G116" s="55">
        <f t="shared" ref="G116:G130" si="73">+(F116+D116)/2</f>
        <v>946568.5</v>
      </c>
      <c r="H116" s="355">
        <f t="shared" ref="H116:H153" si="74">(D116+F116)/2*J$94+E116</f>
        <v>154324.55257674988</v>
      </c>
      <c r="I116" s="381">
        <f t="shared" ref="I116:I153" si="75">+J$95*G116+E116</f>
        <v>154324.55257674988</v>
      </c>
      <c r="J116" s="54">
        <f t="shared" si="39"/>
        <v>0</v>
      </c>
      <c r="K116" s="54"/>
      <c r="L116" s="115"/>
      <c r="M116" s="54">
        <f t="shared" si="40"/>
        <v>0</v>
      </c>
      <c r="N116" s="115"/>
      <c r="O116" s="54">
        <f t="shared" si="41"/>
        <v>0</v>
      </c>
      <c r="P116" s="54">
        <f t="shared" si="42"/>
        <v>0</v>
      </c>
    </row>
    <row r="117" spans="2:16">
      <c r="B117" s="7" t="str">
        <f t="shared" si="45"/>
        <v/>
      </c>
      <c r="C117" s="50">
        <f>IF(D93="","-",+C116+1)</f>
        <v>2026</v>
      </c>
      <c r="D117" s="12">
        <f>IF(F116+SUM(E$99:E116)=D$92,F116,D$92-SUM(E$99:E116))</f>
        <v>926021</v>
      </c>
      <c r="E117" s="355">
        <f>IF(+J96&lt;F116,J96,D117)</f>
        <v>41095</v>
      </c>
      <c r="F117" s="55">
        <f t="shared" si="72"/>
        <v>884926</v>
      </c>
      <c r="G117" s="55">
        <f t="shared" si="73"/>
        <v>905473.5</v>
      </c>
      <c r="H117" s="355">
        <f t="shared" si="74"/>
        <v>149408.72402008277</v>
      </c>
      <c r="I117" s="381">
        <f t="shared" si="75"/>
        <v>149408.72402008277</v>
      </c>
      <c r="J117" s="54">
        <f t="shared" si="39"/>
        <v>0</v>
      </c>
      <c r="K117" s="54"/>
      <c r="L117" s="115"/>
      <c r="M117" s="54">
        <f t="shared" si="40"/>
        <v>0</v>
      </c>
      <c r="N117" s="115"/>
      <c r="O117" s="54">
        <f t="shared" si="41"/>
        <v>0</v>
      </c>
      <c r="P117" s="54">
        <f t="shared" si="42"/>
        <v>0</v>
      </c>
    </row>
    <row r="118" spans="2:16">
      <c r="B118" s="7" t="str">
        <f t="shared" si="45"/>
        <v/>
      </c>
      <c r="C118" s="50">
        <f>IF(D93="","-",+C117+1)</f>
        <v>2027</v>
      </c>
      <c r="D118" s="12">
        <f>IF(F117+SUM(E$99:E117)=D$92,F117,D$92-SUM(E$99:E117))</f>
        <v>884926</v>
      </c>
      <c r="E118" s="355">
        <f>IF(+J96&lt;F117,J96,D118)</f>
        <v>41095</v>
      </c>
      <c r="F118" s="55">
        <f t="shared" si="72"/>
        <v>843831</v>
      </c>
      <c r="G118" s="55">
        <f t="shared" si="73"/>
        <v>864378.5</v>
      </c>
      <c r="H118" s="355">
        <f t="shared" si="74"/>
        <v>144492.89546341565</v>
      </c>
      <c r="I118" s="381">
        <f t="shared" si="75"/>
        <v>144492.89546341565</v>
      </c>
      <c r="J118" s="54">
        <f t="shared" si="39"/>
        <v>0</v>
      </c>
      <c r="K118" s="54"/>
      <c r="L118" s="115"/>
      <c r="M118" s="54">
        <f t="shared" si="40"/>
        <v>0</v>
      </c>
      <c r="N118" s="115"/>
      <c r="O118" s="54">
        <f t="shared" si="41"/>
        <v>0</v>
      </c>
      <c r="P118" s="54">
        <f t="shared" si="42"/>
        <v>0</v>
      </c>
    </row>
    <row r="119" spans="2:16">
      <c r="B119" s="7" t="str">
        <f t="shared" si="45"/>
        <v/>
      </c>
      <c r="C119" s="50">
        <f>IF(D93="","-",+C118+1)</f>
        <v>2028</v>
      </c>
      <c r="D119" s="12">
        <f>IF(F118+SUM(E$99:E118)=D$92,F118,D$92-SUM(E$99:E118))</f>
        <v>843831</v>
      </c>
      <c r="E119" s="355">
        <f>IF(+J96&lt;F118,J96,D119)</f>
        <v>41095</v>
      </c>
      <c r="F119" s="55">
        <f t="shared" si="72"/>
        <v>802736</v>
      </c>
      <c r="G119" s="55">
        <f t="shared" si="73"/>
        <v>823283.5</v>
      </c>
      <c r="H119" s="355">
        <f t="shared" si="74"/>
        <v>139577.06690674857</v>
      </c>
      <c r="I119" s="381">
        <f t="shared" si="75"/>
        <v>139577.06690674857</v>
      </c>
      <c r="J119" s="54">
        <f t="shared" si="39"/>
        <v>0</v>
      </c>
      <c r="K119" s="54"/>
      <c r="L119" s="115"/>
      <c r="M119" s="54">
        <f t="shared" si="40"/>
        <v>0</v>
      </c>
      <c r="N119" s="115"/>
      <c r="O119" s="54">
        <f t="shared" si="41"/>
        <v>0</v>
      </c>
      <c r="P119" s="54">
        <f t="shared" si="42"/>
        <v>0</v>
      </c>
    </row>
    <row r="120" spans="2:16">
      <c r="B120" s="7" t="str">
        <f t="shared" si="45"/>
        <v/>
      </c>
      <c r="C120" s="50">
        <f>IF(D93="","-",+C119+1)</f>
        <v>2029</v>
      </c>
      <c r="D120" s="12">
        <f>IF(F119+SUM(E$99:E119)=D$92,F119,D$92-SUM(E$99:E119))</f>
        <v>802736</v>
      </c>
      <c r="E120" s="355">
        <f>IF(+J96&lt;F119,J96,D120)</f>
        <v>41095</v>
      </c>
      <c r="F120" s="55">
        <f t="shared" si="72"/>
        <v>761641</v>
      </c>
      <c r="G120" s="55">
        <f t="shared" si="73"/>
        <v>782188.5</v>
      </c>
      <c r="H120" s="355">
        <f t="shared" si="74"/>
        <v>134661.23835008149</v>
      </c>
      <c r="I120" s="381">
        <f t="shared" si="75"/>
        <v>134661.23835008149</v>
      </c>
      <c r="J120" s="54">
        <f t="shared" si="39"/>
        <v>0</v>
      </c>
      <c r="K120" s="54"/>
      <c r="L120" s="115"/>
      <c r="M120" s="54">
        <f t="shared" si="40"/>
        <v>0</v>
      </c>
      <c r="N120" s="115"/>
      <c r="O120" s="54">
        <f t="shared" si="41"/>
        <v>0</v>
      </c>
      <c r="P120" s="54">
        <f t="shared" si="42"/>
        <v>0</v>
      </c>
    </row>
    <row r="121" spans="2:16">
      <c r="B121" s="7" t="str">
        <f t="shared" si="45"/>
        <v/>
      </c>
      <c r="C121" s="50">
        <f>IF(D93="","-",+C120+1)</f>
        <v>2030</v>
      </c>
      <c r="D121" s="12">
        <f>IF(F120+SUM(E$99:E120)=D$92,F120,D$92-SUM(E$99:E120))</f>
        <v>761641</v>
      </c>
      <c r="E121" s="355">
        <f>IF(+J96&lt;F120,J96,D121)</f>
        <v>41095</v>
      </c>
      <c r="F121" s="55">
        <f t="shared" si="72"/>
        <v>720546</v>
      </c>
      <c r="G121" s="55">
        <f t="shared" si="73"/>
        <v>741093.5</v>
      </c>
      <c r="H121" s="355">
        <f t="shared" si="74"/>
        <v>129745.40979341439</v>
      </c>
      <c r="I121" s="381">
        <f t="shared" si="75"/>
        <v>129745.40979341439</v>
      </c>
      <c r="J121" s="54">
        <f t="shared" si="39"/>
        <v>0</v>
      </c>
      <c r="K121" s="54"/>
      <c r="L121" s="115"/>
      <c r="M121" s="54">
        <f t="shared" si="40"/>
        <v>0</v>
      </c>
      <c r="N121" s="115"/>
      <c r="O121" s="54">
        <f t="shared" si="41"/>
        <v>0</v>
      </c>
      <c r="P121" s="54">
        <f t="shared" si="42"/>
        <v>0</v>
      </c>
    </row>
    <row r="122" spans="2:16">
      <c r="B122" s="7" t="str">
        <f t="shared" si="45"/>
        <v/>
      </c>
      <c r="C122" s="50">
        <f>IF(D93="","-",+C121+1)</f>
        <v>2031</v>
      </c>
      <c r="D122" s="12">
        <f>IF(F121+SUM(E$99:E121)=D$92,F121,D$92-SUM(E$99:E121))</f>
        <v>720546</v>
      </c>
      <c r="E122" s="355">
        <f>IF(+J96&lt;F121,J96,D122)</f>
        <v>41095</v>
      </c>
      <c r="F122" s="55">
        <f t="shared" si="72"/>
        <v>679451</v>
      </c>
      <c r="G122" s="55">
        <f t="shared" si="73"/>
        <v>699998.5</v>
      </c>
      <c r="H122" s="355">
        <f t="shared" si="74"/>
        <v>124829.5812367473</v>
      </c>
      <c r="I122" s="381">
        <f t="shared" si="75"/>
        <v>124829.5812367473</v>
      </c>
      <c r="J122" s="54">
        <f t="shared" si="39"/>
        <v>0</v>
      </c>
      <c r="K122" s="54"/>
      <c r="L122" s="115"/>
      <c r="M122" s="54">
        <f t="shared" si="40"/>
        <v>0</v>
      </c>
      <c r="N122" s="115"/>
      <c r="O122" s="54">
        <f t="shared" si="41"/>
        <v>0</v>
      </c>
      <c r="P122" s="54">
        <f t="shared" si="42"/>
        <v>0</v>
      </c>
    </row>
    <row r="123" spans="2:16">
      <c r="B123" s="7" t="str">
        <f t="shared" si="45"/>
        <v/>
      </c>
      <c r="C123" s="50">
        <f>IF(D93="","-",+C122+1)</f>
        <v>2032</v>
      </c>
      <c r="D123" s="12">
        <f>IF(F122+SUM(E$99:E122)=D$92,F122,D$92-SUM(E$99:E122))</f>
        <v>679451</v>
      </c>
      <c r="E123" s="355">
        <f>IF(+J96&lt;F122,J96,D123)</f>
        <v>41095</v>
      </c>
      <c r="F123" s="55">
        <f t="shared" si="72"/>
        <v>638356</v>
      </c>
      <c r="G123" s="55">
        <f t="shared" si="73"/>
        <v>658903.5</v>
      </c>
      <c r="H123" s="355">
        <f t="shared" si="74"/>
        <v>119913.7526800802</v>
      </c>
      <c r="I123" s="381">
        <f t="shared" si="75"/>
        <v>119913.7526800802</v>
      </c>
      <c r="J123" s="54">
        <f t="shared" si="39"/>
        <v>0</v>
      </c>
      <c r="K123" s="54"/>
      <c r="L123" s="115"/>
      <c r="M123" s="54">
        <f t="shared" si="40"/>
        <v>0</v>
      </c>
      <c r="N123" s="115"/>
      <c r="O123" s="54">
        <f t="shared" si="41"/>
        <v>0</v>
      </c>
      <c r="P123" s="54">
        <f t="shared" si="42"/>
        <v>0</v>
      </c>
    </row>
    <row r="124" spans="2:16">
      <c r="B124" s="7" t="str">
        <f t="shared" si="45"/>
        <v/>
      </c>
      <c r="C124" s="50">
        <f>IF(D93="","-",+C123+1)</f>
        <v>2033</v>
      </c>
      <c r="D124" s="12">
        <f>IF(F123+SUM(E$99:E123)=D$92,F123,D$92-SUM(E$99:E123))</f>
        <v>638356</v>
      </c>
      <c r="E124" s="355">
        <f>IF(+J96&lt;F123,J96,D124)</f>
        <v>41095</v>
      </c>
      <c r="F124" s="55">
        <f t="shared" si="72"/>
        <v>597261</v>
      </c>
      <c r="G124" s="55">
        <f t="shared" si="73"/>
        <v>617808.5</v>
      </c>
      <c r="H124" s="355">
        <f t="shared" si="74"/>
        <v>114997.92412341312</v>
      </c>
      <c r="I124" s="381">
        <f t="shared" si="75"/>
        <v>114997.92412341312</v>
      </c>
      <c r="J124" s="54">
        <f t="shared" si="39"/>
        <v>0</v>
      </c>
      <c r="K124" s="54"/>
      <c r="L124" s="115"/>
      <c r="M124" s="54">
        <f t="shared" si="40"/>
        <v>0</v>
      </c>
      <c r="N124" s="115"/>
      <c r="O124" s="54">
        <f t="shared" si="41"/>
        <v>0</v>
      </c>
      <c r="P124" s="54">
        <f t="shared" si="42"/>
        <v>0</v>
      </c>
    </row>
    <row r="125" spans="2:16">
      <c r="B125" s="7" t="str">
        <f t="shared" si="45"/>
        <v/>
      </c>
      <c r="C125" s="50">
        <f>IF(D93="","-",+C124+1)</f>
        <v>2034</v>
      </c>
      <c r="D125" s="12">
        <f>IF(F124+SUM(E$99:E124)=D$92,F124,D$92-SUM(E$99:E124))</f>
        <v>597261</v>
      </c>
      <c r="E125" s="355">
        <f>IF(+J96&lt;F124,J96,D125)</f>
        <v>41095</v>
      </c>
      <c r="F125" s="55">
        <f t="shared" si="72"/>
        <v>556166</v>
      </c>
      <c r="G125" s="55">
        <f t="shared" si="73"/>
        <v>576713.5</v>
      </c>
      <c r="H125" s="355">
        <f t="shared" si="74"/>
        <v>110082.09556674602</v>
      </c>
      <c r="I125" s="381">
        <f t="shared" si="75"/>
        <v>110082.09556674602</v>
      </c>
      <c r="J125" s="54">
        <f t="shared" si="39"/>
        <v>0</v>
      </c>
      <c r="K125" s="54"/>
      <c r="L125" s="115"/>
      <c r="M125" s="54">
        <f t="shared" si="40"/>
        <v>0</v>
      </c>
      <c r="N125" s="115"/>
      <c r="O125" s="54">
        <f t="shared" si="41"/>
        <v>0</v>
      </c>
      <c r="P125" s="54">
        <f t="shared" si="42"/>
        <v>0</v>
      </c>
    </row>
    <row r="126" spans="2:16">
      <c r="B126" s="7" t="str">
        <f t="shared" si="45"/>
        <v/>
      </c>
      <c r="C126" s="50">
        <f>IF(D93="","-",+C125+1)</f>
        <v>2035</v>
      </c>
      <c r="D126" s="12">
        <f>IF(F125+SUM(E$99:E125)=D$92,F125,D$92-SUM(E$99:E125))</f>
        <v>556166</v>
      </c>
      <c r="E126" s="355">
        <f>IF(+J96&lt;F125,J96,D126)</f>
        <v>41095</v>
      </c>
      <c r="F126" s="55">
        <f t="shared" si="72"/>
        <v>515071</v>
      </c>
      <c r="G126" s="55">
        <f t="shared" si="73"/>
        <v>535618.5</v>
      </c>
      <c r="H126" s="355">
        <f t="shared" si="74"/>
        <v>105166.26701007893</v>
      </c>
      <c r="I126" s="381">
        <f t="shared" si="75"/>
        <v>105166.26701007893</v>
      </c>
      <c r="J126" s="54">
        <f t="shared" si="39"/>
        <v>0</v>
      </c>
      <c r="K126" s="54"/>
      <c r="L126" s="115"/>
      <c r="M126" s="54">
        <f t="shared" si="40"/>
        <v>0</v>
      </c>
      <c r="N126" s="115"/>
      <c r="O126" s="54">
        <f t="shared" si="41"/>
        <v>0</v>
      </c>
      <c r="P126" s="54">
        <f t="shared" si="42"/>
        <v>0</v>
      </c>
    </row>
    <row r="127" spans="2:16">
      <c r="B127" s="7" t="str">
        <f t="shared" si="45"/>
        <v/>
      </c>
      <c r="C127" s="50">
        <f>IF(D93="","-",+C126+1)</f>
        <v>2036</v>
      </c>
      <c r="D127" s="12">
        <f>IF(F126+SUM(E$99:E126)=D$92,F126,D$92-SUM(E$99:E126))</f>
        <v>515071</v>
      </c>
      <c r="E127" s="355">
        <f>IF(+J96&lt;F126,J96,D127)</f>
        <v>41095</v>
      </c>
      <c r="F127" s="55">
        <f t="shared" si="72"/>
        <v>473976</v>
      </c>
      <c r="G127" s="55">
        <f t="shared" si="73"/>
        <v>494523.5</v>
      </c>
      <c r="H127" s="355">
        <f t="shared" si="74"/>
        <v>100250.43845341183</v>
      </c>
      <c r="I127" s="381">
        <f t="shared" si="75"/>
        <v>100250.43845341183</v>
      </c>
      <c r="J127" s="54">
        <f t="shared" si="39"/>
        <v>0</v>
      </c>
      <c r="K127" s="54"/>
      <c r="L127" s="115"/>
      <c r="M127" s="54">
        <f t="shared" si="40"/>
        <v>0</v>
      </c>
      <c r="N127" s="115"/>
      <c r="O127" s="54">
        <f t="shared" si="41"/>
        <v>0</v>
      </c>
      <c r="P127" s="54">
        <f t="shared" si="42"/>
        <v>0</v>
      </c>
    </row>
    <row r="128" spans="2:16">
      <c r="B128" s="7" t="str">
        <f t="shared" si="45"/>
        <v/>
      </c>
      <c r="C128" s="50">
        <f>IF(D93="","-",+C127+1)</f>
        <v>2037</v>
      </c>
      <c r="D128" s="12">
        <f>IF(F127+SUM(E$99:E127)=D$92,F127,D$92-SUM(E$99:E127))</f>
        <v>473976</v>
      </c>
      <c r="E128" s="355">
        <f>IF(+J96&lt;F127,J96,D128)</f>
        <v>41095</v>
      </c>
      <c r="F128" s="55">
        <f t="shared" si="72"/>
        <v>432881</v>
      </c>
      <c r="G128" s="55">
        <f t="shared" si="73"/>
        <v>453428.5</v>
      </c>
      <c r="H128" s="355">
        <f t="shared" si="74"/>
        <v>95334.609896744747</v>
      </c>
      <c r="I128" s="381">
        <f t="shared" si="75"/>
        <v>95334.609896744747</v>
      </c>
      <c r="J128" s="54">
        <f t="shared" si="39"/>
        <v>0</v>
      </c>
      <c r="K128" s="54"/>
      <c r="L128" s="115"/>
      <c r="M128" s="54">
        <f t="shared" si="40"/>
        <v>0</v>
      </c>
      <c r="N128" s="115"/>
      <c r="O128" s="54">
        <f t="shared" si="41"/>
        <v>0</v>
      </c>
      <c r="P128" s="54">
        <f t="shared" si="42"/>
        <v>0</v>
      </c>
    </row>
    <row r="129" spans="2:16">
      <c r="B129" s="7" t="str">
        <f t="shared" si="45"/>
        <v/>
      </c>
      <c r="C129" s="50">
        <f>IF(D93="","-",+C128+1)</f>
        <v>2038</v>
      </c>
      <c r="D129" s="12">
        <f>IF(F128+SUM(E$99:E128)=D$92,F128,D$92-SUM(E$99:E128))</f>
        <v>432881</v>
      </c>
      <c r="E129" s="355">
        <f>IF(+J96&lt;F128,J96,D129)</f>
        <v>41095</v>
      </c>
      <c r="F129" s="55">
        <f t="shared" si="72"/>
        <v>391786</v>
      </c>
      <c r="G129" s="55">
        <f t="shared" si="73"/>
        <v>412333.5</v>
      </c>
      <c r="H129" s="355">
        <f t="shared" si="74"/>
        <v>90418.78134007765</v>
      </c>
      <c r="I129" s="381">
        <f t="shared" si="75"/>
        <v>90418.78134007765</v>
      </c>
      <c r="J129" s="54">
        <f t="shared" si="39"/>
        <v>0</v>
      </c>
      <c r="K129" s="54"/>
      <c r="L129" s="115"/>
      <c r="M129" s="54">
        <f t="shared" si="40"/>
        <v>0</v>
      </c>
      <c r="N129" s="115"/>
      <c r="O129" s="54">
        <f t="shared" si="41"/>
        <v>0</v>
      </c>
      <c r="P129" s="54">
        <f t="shared" si="42"/>
        <v>0</v>
      </c>
    </row>
    <row r="130" spans="2:16">
      <c r="B130" s="7" t="str">
        <f t="shared" si="45"/>
        <v/>
      </c>
      <c r="C130" s="50">
        <f>IF(D93="","-",+C129+1)</f>
        <v>2039</v>
      </c>
      <c r="D130" s="12">
        <f>IF(F129+SUM(E$99:E129)=D$92,F129,D$92-SUM(E$99:E129))</f>
        <v>391786</v>
      </c>
      <c r="E130" s="355">
        <f>IF(+J96&lt;F129,J96,D130)</f>
        <v>41095</v>
      </c>
      <c r="F130" s="55">
        <f t="shared" si="72"/>
        <v>350691</v>
      </c>
      <c r="G130" s="55">
        <f t="shared" si="73"/>
        <v>371238.5</v>
      </c>
      <c r="H130" s="355">
        <f t="shared" si="74"/>
        <v>85502.952783410554</v>
      </c>
      <c r="I130" s="381">
        <f t="shared" si="75"/>
        <v>85502.952783410554</v>
      </c>
      <c r="J130" s="54">
        <f t="shared" si="39"/>
        <v>0</v>
      </c>
      <c r="K130" s="54"/>
      <c r="L130" s="115"/>
      <c r="M130" s="54">
        <f t="shared" si="40"/>
        <v>0</v>
      </c>
      <c r="N130" s="115"/>
      <c r="O130" s="54">
        <f t="shared" si="41"/>
        <v>0</v>
      </c>
      <c r="P130" s="54">
        <f t="shared" si="42"/>
        <v>0</v>
      </c>
    </row>
    <row r="131" spans="2:16">
      <c r="B131" s="7" t="str">
        <f t="shared" si="45"/>
        <v/>
      </c>
      <c r="C131" s="50">
        <f>IF(D93="","-",+C130+1)</f>
        <v>2040</v>
      </c>
      <c r="D131" s="12">
        <f>IF(F130+SUM(E$99:E130)=D$92,F130,D$92-SUM(E$99:E130))</f>
        <v>350691</v>
      </c>
      <c r="E131" s="355">
        <f>IF(+J96&lt;F130,J96,D131)</f>
        <v>41095</v>
      </c>
      <c r="F131" s="55">
        <f t="shared" ref="F131:F154" si="76">+D131-E131</f>
        <v>309596</v>
      </c>
      <c r="G131" s="55">
        <f t="shared" ref="G131:G154" si="77">+(F131+D131)/2</f>
        <v>330143.5</v>
      </c>
      <c r="H131" s="355">
        <f t="shared" si="74"/>
        <v>80587.124226743472</v>
      </c>
      <c r="I131" s="381">
        <f t="shared" si="75"/>
        <v>80587.124226743472</v>
      </c>
      <c r="J131" s="54">
        <f t="shared" ref="J131:J154" si="78">+I131-H131</f>
        <v>0</v>
      </c>
      <c r="K131" s="54"/>
      <c r="L131" s="115"/>
      <c r="M131" s="54">
        <f t="shared" ref="M131:M154" si="79">IF(L131&lt;&gt;0,+H131-L131,0)</f>
        <v>0</v>
      </c>
      <c r="N131" s="115"/>
      <c r="O131" s="54">
        <f t="shared" ref="O131:O154" si="80">IF(N131&lt;&gt;0,+I131-N131,0)</f>
        <v>0</v>
      </c>
      <c r="P131" s="54">
        <f t="shared" ref="P131:P154" si="81">+O131-M131</f>
        <v>0</v>
      </c>
    </row>
    <row r="132" spans="2:16">
      <c r="B132" s="7" t="str">
        <f t="shared" si="45"/>
        <v/>
      </c>
      <c r="C132" s="50">
        <f>IF(D93="","-",+C131+1)</f>
        <v>2041</v>
      </c>
      <c r="D132" s="12">
        <f>IF(F131+SUM(E$99:E131)=D$92,F131,D$92-SUM(E$99:E131))</f>
        <v>309596</v>
      </c>
      <c r="E132" s="355">
        <f>IF(+J96&lt;F131,J96,D132)</f>
        <v>41095</v>
      </c>
      <c r="F132" s="55">
        <f t="shared" si="76"/>
        <v>268501</v>
      </c>
      <c r="G132" s="55">
        <f t="shared" si="77"/>
        <v>289048.5</v>
      </c>
      <c r="H132" s="355">
        <f t="shared" si="74"/>
        <v>75671.295670076361</v>
      </c>
      <c r="I132" s="381">
        <f t="shared" si="75"/>
        <v>75671.295670076361</v>
      </c>
      <c r="J132" s="54">
        <f t="shared" si="78"/>
        <v>0</v>
      </c>
      <c r="K132" s="54"/>
      <c r="L132" s="115"/>
      <c r="M132" s="54">
        <f t="shared" si="79"/>
        <v>0</v>
      </c>
      <c r="N132" s="115"/>
      <c r="O132" s="54">
        <f t="shared" si="80"/>
        <v>0</v>
      </c>
      <c r="P132" s="54">
        <f t="shared" si="81"/>
        <v>0</v>
      </c>
    </row>
    <row r="133" spans="2:16">
      <c r="B133" s="7" t="str">
        <f t="shared" si="45"/>
        <v/>
      </c>
      <c r="C133" s="50">
        <f>IF(D93="","-",+C132+1)</f>
        <v>2042</v>
      </c>
      <c r="D133" s="12">
        <f>IF(F132+SUM(E$99:E132)=D$92,F132,D$92-SUM(E$99:E132))</f>
        <v>268501</v>
      </c>
      <c r="E133" s="355">
        <f>IF(+J96&lt;F132,J96,D133)</f>
        <v>41095</v>
      </c>
      <c r="F133" s="55">
        <f t="shared" si="76"/>
        <v>227406</v>
      </c>
      <c r="G133" s="55">
        <f t="shared" si="77"/>
        <v>247953.5</v>
      </c>
      <c r="H133" s="355">
        <f t="shared" si="74"/>
        <v>70755.467113409279</v>
      </c>
      <c r="I133" s="381">
        <f t="shared" si="75"/>
        <v>70755.467113409279</v>
      </c>
      <c r="J133" s="54">
        <f t="shared" si="78"/>
        <v>0</v>
      </c>
      <c r="K133" s="54"/>
      <c r="L133" s="115"/>
      <c r="M133" s="54">
        <f t="shared" si="79"/>
        <v>0</v>
      </c>
      <c r="N133" s="115"/>
      <c r="O133" s="54">
        <f t="shared" si="80"/>
        <v>0</v>
      </c>
      <c r="P133" s="54">
        <f t="shared" si="81"/>
        <v>0</v>
      </c>
    </row>
    <row r="134" spans="2:16">
      <c r="B134" s="7" t="str">
        <f t="shared" si="45"/>
        <v/>
      </c>
      <c r="C134" s="50">
        <f>IF(D93="","-",+C133+1)</f>
        <v>2043</v>
      </c>
      <c r="D134" s="12">
        <f>IF(F133+SUM(E$99:E133)=D$92,F133,D$92-SUM(E$99:E133))</f>
        <v>227406</v>
      </c>
      <c r="E134" s="355">
        <f>IF(+J96&lt;F133,J96,D134)</f>
        <v>41095</v>
      </c>
      <c r="F134" s="55">
        <f t="shared" si="76"/>
        <v>186311</v>
      </c>
      <c r="G134" s="55">
        <f t="shared" si="77"/>
        <v>206858.5</v>
      </c>
      <c r="H134" s="355">
        <f t="shared" si="74"/>
        <v>65839.638556742182</v>
      </c>
      <c r="I134" s="381">
        <f t="shared" si="75"/>
        <v>65839.638556742182</v>
      </c>
      <c r="J134" s="54">
        <f t="shared" si="78"/>
        <v>0</v>
      </c>
      <c r="K134" s="54"/>
      <c r="L134" s="115"/>
      <c r="M134" s="54">
        <f t="shared" si="79"/>
        <v>0</v>
      </c>
      <c r="N134" s="115"/>
      <c r="O134" s="54">
        <f t="shared" si="80"/>
        <v>0</v>
      </c>
      <c r="P134" s="54">
        <f t="shared" si="81"/>
        <v>0</v>
      </c>
    </row>
    <row r="135" spans="2:16">
      <c r="B135" s="7" t="str">
        <f t="shared" si="45"/>
        <v/>
      </c>
      <c r="C135" s="50">
        <f>IF(D93="","-",+C134+1)</f>
        <v>2044</v>
      </c>
      <c r="D135" s="12">
        <f>IF(F134+SUM(E$99:E134)=D$92,F134,D$92-SUM(E$99:E134))</f>
        <v>186311</v>
      </c>
      <c r="E135" s="355">
        <f>IF(+J96&lt;F134,J96,D135)</f>
        <v>41095</v>
      </c>
      <c r="F135" s="55">
        <f t="shared" si="76"/>
        <v>145216</v>
      </c>
      <c r="G135" s="55">
        <f t="shared" si="77"/>
        <v>165763.5</v>
      </c>
      <c r="H135" s="355">
        <f t="shared" si="74"/>
        <v>60923.810000075086</v>
      </c>
      <c r="I135" s="381">
        <f t="shared" si="75"/>
        <v>60923.810000075086</v>
      </c>
      <c r="J135" s="54">
        <f t="shared" si="78"/>
        <v>0</v>
      </c>
      <c r="K135" s="54"/>
      <c r="L135" s="115"/>
      <c r="M135" s="54">
        <f t="shared" si="79"/>
        <v>0</v>
      </c>
      <c r="N135" s="115"/>
      <c r="O135" s="54">
        <f t="shared" si="80"/>
        <v>0</v>
      </c>
      <c r="P135" s="54">
        <f t="shared" si="81"/>
        <v>0</v>
      </c>
    </row>
    <row r="136" spans="2:16">
      <c r="B136" s="7" t="str">
        <f t="shared" si="45"/>
        <v/>
      </c>
      <c r="C136" s="50">
        <f>IF(D93="","-",+C135+1)</f>
        <v>2045</v>
      </c>
      <c r="D136" s="12">
        <f>IF(F135+SUM(E$99:E135)=D$92,F135,D$92-SUM(E$99:E135))</f>
        <v>145216</v>
      </c>
      <c r="E136" s="355">
        <f>IF(+J96&lt;F135,J96,D136)</f>
        <v>41095</v>
      </c>
      <c r="F136" s="55">
        <f t="shared" si="76"/>
        <v>104121</v>
      </c>
      <c r="G136" s="55">
        <f t="shared" si="77"/>
        <v>124668.5</v>
      </c>
      <c r="H136" s="355">
        <f t="shared" si="74"/>
        <v>56007.981443407996</v>
      </c>
      <c r="I136" s="381">
        <f t="shared" si="75"/>
        <v>56007.981443407996</v>
      </c>
      <c r="J136" s="54">
        <f t="shared" si="78"/>
        <v>0</v>
      </c>
      <c r="K136" s="54"/>
      <c r="L136" s="115"/>
      <c r="M136" s="54">
        <f t="shared" si="79"/>
        <v>0</v>
      </c>
      <c r="N136" s="115"/>
      <c r="O136" s="54">
        <f t="shared" si="80"/>
        <v>0</v>
      </c>
      <c r="P136" s="54">
        <f t="shared" si="81"/>
        <v>0</v>
      </c>
    </row>
    <row r="137" spans="2:16">
      <c r="B137" s="7" t="str">
        <f t="shared" si="45"/>
        <v/>
      </c>
      <c r="C137" s="50">
        <f>IF(D93="","-",+C136+1)</f>
        <v>2046</v>
      </c>
      <c r="D137" s="12">
        <f>IF(F136+SUM(E$99:E136)=D$92,F136,D$92-SUM(E$99:E136))</f>
        <v>104121</v>
      </c>
      <c r="E137" s="355">
        <f>IF(+J96&lt;F136,J96,D137)</f>
        <v>41095</v>
      </c>
      <c r="F137" s="55">
        <f t="shared" si="76"/>
        <v>63026</v>
      </c>
      <c r="G137" s="55">
        <f t="shared" si="77"/>
        <v>83573.5</v>
      </c>
      <c r="H137" s="355">
        <f t="shared" si="74"/>
        <v>51092.1528867409</v>
      </c>
      <c r="I137" s="381">
        <f t="shared" si="75"/>
        <v>51092.1528867409</v>
      </c>
      <c r="J137" s="54">
        <f t="shared" si="78"/>
        <v>0</v>
      </c>
      <c r="K137" s="54"/>
      <c r="L137" s="115"/>
      <c r="M137" s="54">
        <f t="shared" si="79"/>
        <v>0</v>
      </c>
      <c r="N137" s="115"/>
      <c r="O137" s="54">
        <f t="shared" si="80"/>
        <v>0</v>
      </c>
      <c r="P137" s="54">
        <f t="shared" si="81"/>
        <v>0</v>
      </c>
    </row>
    <row r="138" spans="2:16">
      <c r="B138" s="7" t="str">
        <f t="shared" si="45"/>
        <v/>
      </c>
      <c r="C138" s="50">
        <f>IF(D93="","-",+C137+1)</f>
        <v>2047</v>
      </c>
      <c r="D138" s="12">
        <f>IF(F137+SUM(E$99:E137)=D$92,F137,D$92-SUM(E$99:E137))</f>
        <v>63026</v>
      </c>
      <c r="E138" s="355">
        <f>IF(+J96&lt;F137,J96,D138)</f>
        <v>41095</v>
      </c>
      <c r="F138" s="55">
        <f t="shared" si="76"/>
        <v>21931</v>
      </c>
      <c r="G138" s="55">
        <f t="shared" si="77"/>
        <v>42478.5</v>
      </c>
      <c r="H138" s="355">
        <f t="shared" si="74"/>
        <v>46176.32433007381</v>
      </c>
      <c r="I138" s="381">
        <f t="shared" si="75"/>
        <v>46176.32433007381</v>
      </c>
      <c r="J138" s="54">
        <f t="shared" si="78"/>
        <v>0</v>
      </c>
      <c r="K138" s="54"/>
      <c r="L138" s="115"/>
      <c r="M138" s="54">
        <f t="shared" si="79"/>
        <v>0</v>
      </c>
      <c r="N138" s="115"/>
      <c r="O138" s="54">
        <f t="shared" si="80"/>
        <v>0</v>
      </c>
      <c r="P138" s="54">
        <f t="shared" si="81"/>
        <v>0</v>
      </c>
    </row>
    <row r="139" spans="2:16">
      <c r="B139" s="7" t="str">
        <f t="shared" si="45"/>
        <v/>
      </c>
      <c r="C139" s="50">
        <f>IF(D93="","-",+C138+1)</f>
        <v>2048</v>
      </c>
      <c r="D139" s="12">
        <f>IF(F138+SUM(E$99:E138)=D$92,F138,D$92-SUM(E$99:E138))</f>
        <v>21931</v>
      </c>
      <c r="E139" s="355">
        <f>IF(+J96&lt;F138,J96,D139)</f>
        <v>21931</v>
      </c>
      <c r="F139" s="55">
        <f t="shared" si="76"/>
        <v>0</v>
      </c>
      <c r="G139" s="55">
        <f t="shared" si="77"/>
        <v>10965.5</v>
      </c>
      <c r="H139" s="355">
        <f t="shared" si="74"/>
        <v>23242.705025870131</v>
      </c>
      <c r="I139" s="381">
        <f t="shared" si="75"/>
        <v>23242.705025870131</v>
      </c>
      <c r="J139" s="54">
        <f t="shared" si="78"/>
        <v>0</v>
      </c>
      <c r="K139" s="54"/>
      <c r="L139" s="115"/>
      <c r="M139" s="54">
        <f t="shared" si="79"/>
        <v>0</v>
      </c>
      <c r="N139" s="115"/>
      <c r="O139" s="54">
        <f t="shared" si="80"/>
        <v>0</v>
      </c>
      <c r="P139" s="54">
        <f t="shared" si="81"/>
        <v>0</v>
      </c>
    </row>
    <row r="140" spans="2:16">
      <c r="B140" s="7" t="str">
        <f t="shared" si="45"/>
        <v/>
      </c>
      <c r="C140" s="50">
        <f>IF(D93="","-",+C139+1)</f>
        <v>2049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6"/>
        <v>0</v>
      </c>
      <c r="G140" s="55">
        <f t="shared" si="77"/>
        <v>0</v>
      </c>
      <c r="H140" s="355">
        <f t="shared" si="74"/>
        <v>0</v>
      </c>
      <c r="I140" s="381">
        <f t="shared" si="75"/>
        <v>0</v>
      </c>
      <c r="J140" s="54">
        <f t="shared" si="78"/>
        <v>0</v>
      </c>
      <c r="K140" s="54"/>
      <c r="L140" s="115"/>
      <c r="M140" s="54">
        <f t="shared" si="79"/>
        <v>0</v>
      </c>
      <c r="N140" s="115"/>
      <c r="O140" s="54">
        <f t="shared" si="80"/>
        <v>0</v>
      </c>
      <c r="P140" s="54">
        <f t="shared" si="81"/>
        <v>0</v>
      </c>
    </row>
    <row r="141" spans="2:16">
      <c r="B141" s="7" t="str">
        <f t="shared" si="45"/>
        <v/>
      </c>
      <c r="C141" s="50">
        <f>IF(D93="","-",+C140+1)</f>
        <v>2050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6"/>
        <v>0</v>
      </c>
      <c r="G141" s="55">
        <f t="shared" si="77"/>
        <v>0</v>
      </c>
      <c r="H141" s="355">
        <f t="shared" si="74"/>
        <v>0</v>
      </c>
      <c r="I141" s="381">
        <f t="shared" si="75"/>
        <v>0</v>
      </c>
      <c r="J141" s="54">
        <f t="shared" si="78"/>
        <v>0</v>
      </c>
      <c r="K141" s="54"/>
      <c r="L141" s="115"/>
      <c r="M141" s="54">
        <f t="shared" si="79"/>
        <v>0</v>
      </c>
      <c r="N141" s="115"/>
      <c r="O141" s="54">
        <f t="shared" si="80"/>
        <v>0</v>
      </c>
      <c r="P141" s="54">
        <f t="shared" si="81"/>
        <v>0</v>
      </c>
    </row>
    <row r="142" spans="2:16">
      <c r="B142" s="7" t="str">
        <f t="shared" si="45"/>
        <v/>
      </c>
      <c r="C142" s="50">
        <f>IF(D93="","-",+C141+1)</f>
        <v>2051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6"/>
        <v>0</v>
      </c>
      <c r="G142" s="55">
        <f t="shared" si="77"/>
        <v>0</v>
      </c>
      <c r="H142" s="355">
        <f t="shared" si="74"/>
        <v>0</v>
      </c>
      <c r="I142" s="381">
        <f t="shared" si="75"/>
        <v>0</v>
      </c>
      <c r="J142" s="54">
        <f t="shared" si="78"/>
        <v>0</v>
      </c>
      <c r="K142" s="54"/>
      <c r="L142" s="115"/>
      <c r="M142" s="54">
        <f t="shared" si="79"/>
        <v>0</v>
      </c>
      <c r="N142" s="115"/>
      <c r="O142" s="54">
        <f t="shared" si="80"/>
        <v>0</v>
      </c>
      <c r="P142" s="54">
        <f t="shared" si="81"/>
        <v>0</v>
      </c>
    </row>
    <row r="143" spans="2:16">
      <c r="B143" s="7" t="str">
        <f t="shared" si="45"/>
        <v/>
      </c>
      <c r="C143" s="50">
        <f>IF(D93="","-",+C142+1)</f>
        <v>2052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6"/>
        <v>0</v>
      </c>
      <c r="G143" s="55">
        <f t="shared" si="77"/>
        <v>0</v>
      </c>
      <c r="H143" s="355">
        <f t="shared" si="74"/>
        <v>0</v>
      </c>
      <c r="I143" s="381">
        <f t="shared" si="75"/>
        <v>0</v>
      </c>
      <c r="J143" s="54">
        <f t="shared" si="78"/>
        <v>0</v>
      </c>
      <c r="K143" s="54"/>
      <c r="L143" s="115"/>
      <c r="M143" s="54">
        <f t="shared" si="79"/>
        <v>0</v>
      </c>
      <c r="N143" s="115"/>
      <c r="O143" s="54">
        <f t="shared" si="80"/>
        <v>0</v>
      </c>
      <c r="P143" s="54">
        <f t="shared" si="81"/>
        <v>0</v>
      </c>
    </row>
    <row r="144" spans="2:16">
      <c r="B144" s="7" t="str">
        <f t="shared" si="45"/>
        <v/>
      </c>
      <c r="C144" s="50">
        <f>IF(D93="","-",+C143+1)</f>
        <v>2053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6"/>
        <v>0</v>
      </c>
      <c r="G144" s="55">
        <f t="shared" si="77"/>
        <v>0</v>
      </c>
      <c r="H144" s="355">
        <f t="shared" si="74"/>
        <v>0</v>
      </c>
      <c r="I144" s="381">
        <f t="shared" si="75"/>
        <v>0</v>
      </c>
      <c r="J144" s="54">
        <f t="shared" si="78"/>
        <v>0</v>
      </c>
      <c r="K144" s="54"/>
      <c r="L144" s="115"/>
      <c r="M144" s="54">
        <f t="shared" si="79"/>
        <v>0</v>
      </c>
      <c r="N144" s="115"/>
      <c r="O144" s="54">
        <f t="shared" si="80"/>
        <v>0</v>
      </c>
      <c r="P144" s="54">
        <f t="shared" si="81"/>
        <v>0</v>
      </c>
    </row>
    <row r="145" spans="2:16">
      <c r="B145" s="7" t="str">
        <f t="shared" si="45"/>
        <v/>
      </c>
      <c r="C145" s="50">
        <f>IF(D93="","-",+C144+1)</f>
        <v>2054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6"/>
        <v>0</v>
      </c>
      <c r="G145" s="55">
        <f t="shared" si="77"/>
        <v>0</v>
      </c>
      <c r="H145" s="355">
        <f t="shared" si="74"/>
        <v>0</v>
      </c>
      <c r="I145" s="381">
        <f t="shared" si="75"/>
        <v>0</v>
      </c>
      <c r="J145" s="54">
        <f t="shared" si="78"/>
        <v>0</v>
      </c>
      <c r="K145" s="54"/>
      <c r="L145" s="115"/>
      <c r="M145" s="54">
        <f t="shared" si="79"/>
        <v>0</v>
      </c>
      <c r="N145" s="115"/>
      <c r="O145" s="54">
        <f t="shared" si="80"/>
        <v>0</v>
      </c>
      <c r="P145" s="54">
        <f t="shared" si="81"/>
        <v>0</v>
      </c>
    </row>
    <row r="146" spans="2:16">
      <c r="B146" s="7" t="str">
        <f t="shared" si="45"/>
        <v/>
      </c>
      <c r="C146" s="50">
        <f>IF(D93="","-",+C145+1)</f>
        <v>2055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6"/>
        <v>0</v>
      </c>
      <c r="G146" s="55">
        <f t="shared" si="77"/>
        <v>0</v>
      </c>
      <c r="H146" s="355">
        <f t="shared" si="74"/>
        <v>0</v>
      </c>
      <c r="I146" s="381">
        <f t="shared" si="75"/>
        <v>0</v>
      </c>
      <c r="J146" s="54">
        <f t="shared" si="78"/>
        <v>0</v>
      </c>
      <c r="K146" s="54"/>
      <c r="L146" s="115"/>
      <c r="M146" s="54">
        <f t="shared" si="79"/>
        <v>0</v>
      </c>
      <c r="N146" s="115"/>
      <c r="O146" s="54">
        <f t="shared" si="80"/>
        <v>0</v>
      </c>
      <c r="P146" s="54">
        <f t="shared" si="81"/>
        <v>0</v>
      </c>
    </row>
    <row r="147" spans="2:16">
      <c r="B147" s="7" t="str">
        <f t="shared" si="45"/>
        <v/>
      </c>
      <c r="C147" s="50">
        <f>IF(D93="","-",+C146+1)</f>
        <v>2056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6"/>
        <v>0</v>
      </c>
      <c r="G147" s="55">
        <f t="shared" si="77"/>
        <v>0</v>
      </c>
      <c r="H147" s="355">
        <f t="shared" si="74"/>
        <v>0</v>
      </c>
      <c r="I147" s="381">
        <f t="shared" si="75"/>
        <v>0</v>
      </c>
      <c r="J147" s="54">
        <f t="shared" si="78"/>
        <v>0</v>
      </c>
      <c r="K147" s="54"/>
      <c r="L147" s="115"/>
      <c r="M147" s="54">
        <f t="shared" si="79"/>
        <v>0</v>
      </c>
      <c r="N147" s="115"/>
      <c r="O147" s="54">
        <f t="shared" si="80"/>
        <v>0</v>
      </c>
      <c r="P147" s="54">
        <f t="shared" si="81"/>
        <v>0</v>
      </c>
    </row>
    <row r="148" spans="2:16">
      <c r="B148" s="7" t="str">
        <f t="shared" si="45"/>
        <v/>
      </c>
      <c r="C148" s="50">
        <f>IF(D93="","-",+C147+1)</f>
        <v>2057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6"/>
        <v>0</v>
      </c>
      <c r="G148" s="55">
        <f t="shared" si="77"/>
        <v>0</v>
      </c>
      <c r="H148" s="355">
        <f t="shared" si="74"/>
        <v>0</v>
      </c>
      <c r="I148" s="381">
        <f t="shared" si="75"/>
        <v>0</v>
      </c>
      <c r="J148" s="54">
        <f t="shared" si="78"/>
        <v>0</v>
      </c>
      <c r="K148" s="54"/>
      <c r="L148" s="115"/>
      <c r="M148" s="54">
        <f t="shared" si="79"/>
        <v>0</v>
      </c>
      <c r="N148" s="115"/>
      <c r="O148" s="54">
        <f t="shared" si="80"/>
        <v>0</v>
      </c>
      <c r="P148" s="54">
        <f t="shared" si="81"/>
        <v>0</v>
      </c>
    </row>
    <row r="149" spans="2:16">
      <c r="B149" s="7" t="str">
        <f t="shared" si="45"/>
        <v/>
      </c>
      <c r="C149" s="50">
        <f>IF(D93="","-",+C148+1)</f>
        <v>2058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6"/>
        <v>0</v>
      </c>
      <c r="G149" s="55">
        <f t="shared" si="77"/>
        <v>0</v>
      </c>
      <c r="H149" s="355">
        <f t="shared" si="74"/>
        <v>0</v>
      </c>
      <c r="I149" s="381">
        <f t="shared" si="75"/>
        <v>0</v>
      </c>
      <c r="J149" s="54">
        <f t="shared" si="78"/>
        <v>0</v>
      </c>
      <c r="K149" s="54"/>
      <c r="L149" s="115"/>
      <c r="M149" s="54">
        <f t="shared" si="79"/>
        <v>0</v>
      </c>
      <c r="N149" s="115"/>
      <c r="O149" s="54">
        <f t="shared" si="80"/>
        <v>0</v>
      </c>
      <c r="P149" s="54">
        <f t="shared" si="81"/>
        <v>0</v>
      </c>
    </row>
    <row r="150" spans="2:16">
      <c r="B150" s="7" t="str">
        <f t="shared" si="45"/>
        <v/>
      </c>
      <c r="C150" s="50">
        <f>IF(D93="","-",+C149+1)</f>
        <v>2059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6"/>
        <v>0</v>
      </c>
      <c r="G150" s="55">
        <f t="shared" si="77"/>
        <v>0</v>
      </c>
      <c r="H150" s="355">
        <f t="shared" si="74"/>
        <v>0</v>
      </c>
      <c r="I150" s="381">
        <f t="shared" si="75"/>
        <v>0</v>
      </c>
      <c r="J150" s="54">
        <f t="shared" si="78"/>
        <v>0</v>
      </c>
      <c r="K150" s="54"/>
      <c r="L150" s="115"/>
      <c r="M150" s="54">
        <f t="shared" si="79"/>
        <v>0</v>
      </c>
      <c r="N150" s="115"/>
      <c r="O150" s="54">
        <f t="shared" si="80"/>
        <v>0</v>
      </c>
      <c r="P150" s="54">
        <f t="shared" si="81"/>
        <v>0</v>
      </c>
    </row>
    <row r="151" spans="2:16">
      <c r="B151" s="7" t="str">
        <f t="shared" si="45"/>
        <v/>
      </c>
      <c r="C151" s="50">
        <f>IF(D93="","-",+C150+1)</f>
        <v>2060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6"/>
        <v>0</v>
      </c>
      <c r="G151" s="55">
        <f t="shared" si="77"/>
        <v>0</v>
      </c>
      <c r="H151" s="355">
        <f t="shared" si="74"/>
        <v>0</v>
      </c>
      <c r="I151" s="381">
        <f t="shared" si="75"/>
        <v>0</v>
      </c>
      <c r="J151" s="54">
        <f t="shared" si="78"/>
        <v>0</v>
      </c>
      <c r="K151" s="54"/>
      <c r="L151" s="115"/>
      <c r="M151" s="54">
        <f t="shared" si="79"/>
        <v>0</v>
      </c>
      <c r="N151" s="115"/>
      <c r="O151" s="54">
        <f t="shared" si="80"/>
        <v>0</v>
      </c>
      <c r="P151" s="54">
        <f t="shared" si="81"/>
        <v>0</v>
      </c>
    </row>
    <row r="152" spans="2:16">
      <c r="B152" s="7" t="str">
        <f t="shared" si="45"/>
        <v/>
      </c>
      <c r="C152" s="50">
        <f>IF(D93="","-",+C151+1)</f>
        <v>2061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6"/>
        <v>0</v>
      </c>
      <c r="G152" s="55">
        <f t="shared" si="77"/>
        <v>0</v>
      </c>
      <c r="H152" s="355">
        <f t="shared" si="74"/>
        <v>0</v>
      </c>
      <c r="I152" s="381">
        <f t="shared" si="75"/>
        <v>0</v>
      </c>
      <c r="J152" s="54">
        <f t="shared" si="78"/>
        <v>0</v>
      </c>
      <c r="K152" s="54"/>
      <c r="L152" s="115"/>
      <c r="M152" s="54">
        <f t="shared" si="79"/>
        <v>0</v>
      </c>
      <c r="N152" s="115"/>
      <c r="O152" s="54">
        <f t="shared" si="80"/>
        <v>0</v>
      </c>
      <c r="P152" s="54">
        <f t="shared" si="81"/>
        <v>0</v>
      </c>
    </row>
    <row r="153" spans="2:16">
      <c r="B153" s="7" t="str">
        <f t="shared" si="45"/>
        <v/>
      </c>
      <c r="C153" s="50">
        <f>IF(D93="","-",+C152+1)</f>
        <v>2062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6"/>
        <v>0</v>
      </c>
      <c r="G153" s="55">
        <f t="shared" si="77"/>
        <v>0</v>
      </c>
      <c r="H153" s="355">
        <f t="shared" si="74"/>
        <v>0</v>
      </c>
      <c r="I153" s="381">
        <f t="shared" si="75"/>
        <v>0</v>
      </c>
      <c r="J153" s="54">
        <f t="shared" si="78"/>
        <v>0</v>
      </c>
      <c r="K153" s="54"/>
      <c r="L153" s="115"/>
      <c r="M153" s="54">
        <f t="shared" si="79"/>
        <v>0</v>
      </c>
      <c r="N153" s="115"/>
      <c r="O153" s="54">
        <f t="shared" si="80"/>
        <v>0</v>
      </c>
      <c r="P153" s="54">
        <f t="shared" si="81"/>
        <v>0</v>
      </c>
    </row>
    <row r="154" spans="2:16" ht="13.5" thickBot="1">
      <c r="B154" s="7" t="str">
        <f t="shared" si="45"/>
        <v/>
      </c>
      <c r="C154" s="58">
        <f>IF(D93="","-",+C153+1)</f>
        <v>2063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6"/>
        <v>0</v>
      </c>
      <c r="G154" s="59">
        <f t="shared" si="77"/>
        <v>0</v>
      </c>
      <c r="H154" s="358">
        <f t="shared" ref="H154" si="82">+J$94*G154+E154</f>
        <v>0</v>
      </c>
      <c r="I154" s="383">
        <f t="shared" ref="I154" si="83">+J$95*G154+E154</f>
        <v>0</v>
      </c>
      <c r="J154" s="62">
        <f t="shared" si="78"/>
        <v>0</v>
      </c>
      <c r="K154" s="54"/>
      <c r="L154" s="116"/>
      <c r="M154" s="62">
        <f t="shared" si="79"/>
        <v>0</v>
      </c>
      <c r="N154" s="116"/>
      <c r="O154" s="62">
        <f t="shared" si="80"/>
        <v>0</v>
      </c>
      <c r="P154" s="62">
        <f t="shared" si="81"/>
        <v>0</v>
      </c>
    </row>
    <row r="155" spans="2:16">
      <c r="C155" s="12" t="s">
        <v>77</v>
      </c>
      <c r="D155" s="266"/>
      <c r="E155" s="266">
        <f>SUM(E99:E154)</f>
        <v>1520502</v>
      </c>
      <c r="F155" s="266"/>
      <c r="G155" s="266"/>
      <c r="H155" s="266">
        <f>SUM(H99:H154)</f>
        <v>5615545.7915867101</v>
      </c>
      <c r="I155" s="266">
        <f>SUM(I99:I154)</f>
        <v>5615545.7915867101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>
      <c r="C158" s="98" t="s">
        <v>148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8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3" priority="1" stopIfTrue="1" operator="equal">
      <formula>$I$10</formula>
    </cfRule>
  </conditionalFormatting>
  <conditionalFormatting sqref="C99:C154">
    <cfRule type="cellIs" dxfId="6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a06342d-ce85-4729-8251-347f0ba4f840">
      <Terms xmlns="http://schemas.microsoft.com/office/infopath/2007/PartnerControls"/>
    </lcf76f155ced4ddcb4097134ff3c332f>
    <TaxCatchAll xmlns="b6888f76-1100-40b0-929b-1efe9044426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49C77599AAFD4B8FFD850D55630F3C" ma:contentTypeVersion="11" ma:contentTypeDescription="Create a new document." ma:contentTypeScope="" ma:versionID="ad751a9f435e1866f9f8a73a34278f13">
  <xsd:schema xmlns:xsd="http://www.w3.org/2001/XMLSchema" xmlns:xs="http://www.w3.org/2001/XMLSchema" xmlns:p="http://schemas.microsoft.com/office/2006/metadata/properties" xmlns:ns2="6a06342d-ce85-4729-8251-347f0ba4f840" xmlns:ns3="b6888f76-1100-40b0-929b-1efe9044426d" targetNamespace="http://schemas.microsoft.com/office/2006/metadata/properties" ma:root="true" ma:fieldsID="e425485e64401a05f4c6dac9240526dc" ns2:_="" ns3:_="">
    <xsd:import namespace="6a06342d-ce85-4729-8251-347f0ba4f840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6342d-ce85-4729-8251-347f0ba4f8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zMTc3MDQwPC9Vc2VyTmFtZT48RGF0ZVRpbWU+My84LzIwMjIgMzoyMzoxOSBQTTwvRGF0ZVRpbWU+PExhYmVsU3RyaW5nPkFFUCBJbnRlcm5hbDwvTGFiZWxTdHJpbmc+PC9pdGVtPjxpdGVtPjxzaXNsIHNpc2xWZXJzaW9uPSIwIiBwb2xpY3k9ImU5YzBiOGQ3LWJkYjQtNGZkMy1iNjJhLWY1MDMyN2FhZWZjZSIgb3JpZ2luPSJ1c2VyU2VsZWN0ZWQiPjxlbGVtZW50IHVpZD0iNTBjMzE4MjQtMDc4MC00OTEwLTg3ZDEtZWFhZmZkMTgyZDQyIiB2YWx1ZT0iIiB4bWxucz0iaHR0cDovL3d3dy5ib2xkb25qYW1lcy5jb20vMjAwOC8wMS9zaWUvaW50ZXJuYWwvbGFiZWwiIC8+PC9zaXNsPjxVc2VyTmFtZT5DT1JQXHMxNzcwNDA8L1VzZXJOYW1lPjxEYXRlVGltZT41LzIzLzIwMjIgMToyOToyMCBQTTwvRGF0ZVRpbWU+PExhYmVsU3RyaW5nPkFFUCBJbnRlcm5hbDwvTGFiZWxTdHJpbmc+PC9pdGVtPjwvbGFiZWxIaXN0b3J5Pg==</Value>
</WrappedLabelHistory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4CCDF5A8-11E9-492C-91D7-AE477F18C435}">
  <ds:schemaRefs>
    <ds:schemaRef ds:uri="http://schemas.microsoft.com/office/2006/metadata/properties"/>
    <ds:schemaRef ds:uri="http://schemas.microsoft.com/office/infopath/2007/PartnerControls"/>
    <ds:schemaRef ds:uri="6a06342d-ce85-4729-8251-347f0ba4f840"/>
    <ds:schemaRef ds:uri="b6888f76-1100-40b0-929b-1efe9044426d"/>
  </ds:schemaRefs>
</ds:datastoreItem>
</file>

<file path=customXml/itemProps2.xml><?xml version="1.0" encoding="utf-8"?>
<ds:datastoreItem xmlns:ds="http://schemas.openxmlformats.org/officeDocument/2006/customXml" ds:itemID="{0D1CBC76-9F68-4D83-9A3A-EE6A8594F3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6342d-ce85-4729-8251-347f0ba4f840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F1F881-7F06-4AB5-9F41-E5D34AB4B292}">
  <ds:schemaRefs>
    <ds:schemaRef ds:uri="http://www.w3.org/2001/XMLSchema"/>
    <ds:schemaRef ds:uri="http://www.boldonjames.com/2016/02/Classifier/internal/wrappedLabelHistory"/>
  </ds:schemaRefs>
</ds:datastoreItem>
</file>

<file path=customXml/itemProps4.xml><?xml version="1.0" encoding="utf-8"?>
<ds:datastoreItem xmlns:ds="http://schemas.openxmlformats.org/officeDocument/2006/customXml" ds:itemID="{C15E6780-C9AE-412D-9663-27CB80B7D1A0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32A87220-085C-4DFF-AB9A-111106C1FFE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33</vt:i4>
      </vt:variant>
    </vt:vector>
  </HeadingPairs>
  <TitlesOfParts>
    <vt:vector size="73" baseType="lpstr">
      <vt:lpstr>PSO.Sch.11.Rates</vt:lpstr>
      <vt:lpstr>PSO.WS.F.BPU.ATRR.Projected</vt:lpstr>
      <vt:lpstr>PSO.WS.G.BPU.ATRR.True-up</vt:lpstr>
      <vt:lpstr>P.001</vt:lpstr>
      <vt:lpstr>P.002</vt:lpstr>
      <vt:lpstr>P.003</vt:lpstr>
      <vt:lpstr>P.004</vt:lpstr>
      <vt:lpstr>P.005</vt:lpstr>
      <vt:lpstr>P.006</vt:lpstr>
      <vt:lpstr>P.007</vt:lpstr>
      <vt:lpstr>P.008</vt:lpstr>
      <vt:lpstr>P.009</vt:lpstr>
      <vt:lpstr>P.010</vt:lpstr>
      <vt:lpstr>P.011</vt:lpstr>
      <vt:lpstr>P.012</vt:lpstr>
      <vt:lpstr>P.013</vt:lpstr>
      <vt:lpstr>P.014</vt:lpstr>
      <vt:lpstr>P.015</vt:lpstr>
      <vt:lpstr>P.016</vt:lpstr>
      <vt:lpstr>P.017</vt:lpstr>
      <vt:lpstr>P.018</vt:lpstr>
      <vt:lpstr>P.019</vt:lpstr>
      <vt:lpstr>P.020</vt:lpstr>
      <vt:lpstr>P.021</vt:lpstr>
      <vt:lpstr>P.022</vt:lpstr>
      <vt:lpstr>P.023</vt:lpstr>
      <vt:lpstr>P.024</vt:lpstr>
      <vt:lpstr>P.025</vt:lpstr>
      <vt:lpstr>P.026</vt:lpstr>
      <vt:lpstr>P.027</vt:lpstr>
      <vt:lpstr>P.028</vt:lpstr>
      <vt:lpstr>P.029</vt:lpstr>
      <vt:lpstr>P.030</vt:lpstr>
      <vt:lpstr>P.031</vt:lpstr>
      <vt:lpstr>P.032</vt:lpstr>
      <vt:lpstr>P.033</vt:lpstr>
      <vt:lpstr>P.034</vt:lpstr>
      <vt:lpstr>P.035</vt:lpstr>
      <vt:lpstr>P.036</vt:lpstr>
      <vt:lpstr>P.xyz - blank</vt:lpstr>
      <vt:lpstr>P.001!Print_Area</vt:lpstr>
      <vt:lpstr>P.002!Print_Area</vt:lpstr>
      <vt:lpstr>P.003!Print_Area</vt:lpstr>
      <vt:lpstr>P.004!Print_Area</vt:lpstr>
      <vt:lpstr>P.005!Print_Area</vt:lpstr>
      <vt:lpstr>P.006!Print_Area</vt:lpstr>
      <vt:lpstr>P.007!Print_Area</vt:lpstr>
      <vt:lpstr>P.008!Print_Area</vt:lpstr>
      <vt:lpstr>P.009!Print_Area</vt:lpstr>
      <vt:lpstr>P.010!Print_Area</vt:lpstr>
      <vt:lpstr>P.011!Print_Area</vt:lpstr>
      <vt:lpstr>P.012!Print_Area</vt:lpstr>
      <vt:lpstr>P.013!Print_Area</vt:lpstr>
      <vt:lpstr>P.014!Print_Area</vt:lpstr>
      <vt:lpstr>P.015!Print_Area</vt:lpstr>
      <vt:lpstr>P.016!Print_Area</vt:lpstr>
      <vt:lpstr>P.017!Print_Area</vt:lpstr>
      <vt:lpstr>P.018!Print_Area</vt:lpstr>
      <vt:lpstr>P.019!Print_Area</vt:lpstr>
      <vt:lpstr>P.020!Print_Area</vt:lpstr>
      <vt:lpstr>P.021!Print_Area</vt:lpstr>
      <vt:lpstr>P.022!Print_Area</vt:lpstr>
      <vt:lpstr>P.032!Print_Area</vt:lpstr>
      <vt:lpstr>P.033!Print_Area</vt:lpstr>
      <vt:lpstr>P.034!Print_Area</vt:lpstr>
      <vt:lpstr>P.035!Print_Area</vt:lpstr>
      <vt:lpstr>P.036!Print_Area</vt:lpstr>
      <vt:lpstr>'P.xyz - blank'!Print_Area</vt:lpstr>
      <vt:lpstr>PSO.Sch.11.Rates!Print_Area</vt:lpstr>
      <vt:lpstr>PSO.WS.F.BPU.ATRR.Projected!Print_Area</vt:lpstr>
      <vt:lpstr>'PSO.WS.G.BPU.ATRR.True-up'!Print_Area</vt:lpstr>
      <vt:lpstr>PSO.WS.F.BPU.ATRR.Projected!Print_Titles</vt:lpstr>
      <vt:lpstr>'PSO.WS.G.BPU.ATRR.True-up'!Print_Titles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Allyson L Keaton</cp:lastModifiedBy>
  <cp:lastPrinted>2023-05-23T12:11:45Z</cp:lastPrinted>
  <dcterms:created xsi:type="dcterms:W3CDTF">2009-05-11T14:02:48Z</dcterms:created>
  <dcterms:modified xsi:type="dcterms:W3CDTF">2026-05-21T20:17:35Z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92b7170f-eef1-44a5-81ff-a80dc21e0bad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ClsUserRVM">
    <vt:lpwstr>[]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LabelHistoryID">
    <vt:lpwstr>{C5F1F881-7F06-4AB5-9F41-E5D34AB4B292}</vt:lpwstr>
  </property>
  <property fmtid="{D5CDD505-2E9C-101B-9397-08002B2CF9AE}" pid="11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2" name="bjDocumentLabelXML-0">
    <vt:lpwstr>ames.com/2008/01/sie/internal/label"&gt;&lt;element uid="50c31824-0780-4910-87d1-eaaffd182d42" value="" /&gt;&lt;/sisl&gt;</vt:lpwstr>
  </property>
  <property fmtid="{D5CDD505-2E9C-101B-9397-08002B2CF9AE}" pid="13" name="MediaServiceImageTags">
    <vt:lpwstr/>
  </property>
  <property fmtid="{D5CDD505-2E9C-101B-9397-08002B2CF9AE}" pid="14" name="ContentTypeId">
    <vt:lpwstr>0x0101002649C77599AAFD4B8FFD850D55630F3C</vt:lpwstr>
  </property>
  <property fmtid="{D5CDD505-2E9C-101B-9397-08002B2CF9AE}" pid="15" name="bjpmDocIH">
    <vt:lpwstr>tMee0lY+QQaNhjKQa7tM5H9HydNafo19</vt:lpwstr>
  </property>
</Properties>
</file>